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kte\OS_Abklärung DACHCZ\Aktuelle_Arbeitsblätter\"/>
    </mc:Choice>
  </mc:AlternateContent>
  <xr:revisionPtr revIDLastSave="0" documentId="13_ncr:1_{81856ACB-ED38-4B6E-AB86-C7EAEA009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c">Tabelle1!#REF!</definedName>
    <definedName name="_Rlt160">Tabelle1!#REF!</definedName>
    <definedName name="_Rtt1">Tabelle1!$K$127:$K$155</definedName>
    <definedName name="_Rv160">Tabelle1!$C$214</definedName>
    <definedName name="_Rv20">Tabelle1!$D$214</definedName>
    <definedName name="_Rv70">Tabelle1!$D$227</definedName>
    <definedName name="_Skv160">Tabelle1!$C$221</definedName>
    <definedName name="_Skv70">Tabelle1!#REF!</definedName>
    <definedName name="_Xv160">Tabelle1!$C$215</definedName>
    <definedName name="_Xv20">Tabelle1!$D$215</definedName>
    <definedName name="_Xv70">Tabelle1!$D$228</definedName>
    <definedName name="_Zl160">Tabelle1!#REF!</definedName>
    <definedName name="_Zl70">Tabelle1!#REF!</definedName>
    <definedName name="_Zv160">Tabelle1!$C$218</definedName>
    <definedName name="_Zv20">Tabelle1!$D$218</definedName>
    <definedName name="_Zv70">Tabelle1!$D$230</definedName>
    <definedName name="Abschnitt">Tabelle1!#REF!</definedName>
    <definedName name="Alpha">Tabelle1!$J$166:$J$194</definedName>
    <definedName name="Alpha_MS">Tabelle1!#REF!</definedName>
    <definedName name="AlphaCu">Tabelle1!$G$196</definedName>
    <definedName name="cosphia">Tabelle1!$D$40</definedName>
    <definedName name="cosphiah">Tabelle1!$D$41</definedName>
    <definedName name="cosphin">Tabelle1!$D$29</definedName>
    <definedName name="cosphios">Tabelle1!#REF!</definedName>
    <definedName name="Delta_Pa">Tabelle1!#REF!</definedName>
    <definedName name="Delta_Sa">Tabelle1!$D$43</definedName>
    <definedName name="Delta_Sa_LN">Tabelle1!#REF!</definedName>
    <definedName name="dmax">Tabelle1!$D$47</definedName>
    <definedName name="dmax_last">Tabelle1!$D$48</definedName>
    <definedName name="_xlnm.Print_Area" localSheetId="0">Tabelle1!$A$1:$N$240</definedName>
    <definedName name="einphasig">Tabelle1!$D$37</definedName>
    <definedName name="Ia">Tabelle1!$D$42</definedName>
    <definedName name="IaIn">Tabelle1!$D$38</definedName>
    <definedName name="IaIn_ag">Tabelle1!$D$39</definedName>
    <definedName name="Iantr">Tabelle1!#REF!</definedName>
    <definedName name="IHAK">Tabelle1!$J$98</definedName>
    <definedName name="Ik3p">Tabelle1!#REF!</definedName>
    <definedName name="ik3p160">Tabelle1!#REF!</definedName>
    <definedName name="Ik3p70">Tabelle1!#REF!</definedName>
    <definedName name="ik3pmin">Tabelle1!#REF!</definedName>
    <definedName name="IKAB">Tabelle1!$L$100</definedName>
    <definedName name="ikmax">Tabelle1!$D$222</definedName>
    <definedName name="ikmin">Tabelle1!$D$223</definedName>
    <definedName name="Ims">Tabelle1!#REF!</definedName>
    <definedName name="In">Tabelle1!$D$32</definedName>
    <definedName name="Iober">Tabelle1!#REF!</definedName>
    <definedName name="Ios">Tabelle1!#REF!</definedName>
    <definedName name="Ios_ms">Tabelle1!#REF!</definedName>
    <definedName name="ISA">Tabelle1!$D$18</definedName>
    <definedName name="Länge">Tabelle1!$D$166:$D$194</definedName>
    <definedName name="Länge_MS">Tabelle1!#REF!</definedName>
    <definedName name="nt">Tabelle1!$D$127:$D$155</definedName>
    <definedName name="Ordnungszahl">Tabelle1!#REF!</definedName>
    <definedName name="OS_Prozent">Tabelle1!#REF!</definedName>
    <definedName name="p10min">Tabelle1!#REF!</definedName>
    <definedName name="PhiLast">Tabelle1!$D$44</definedName>
    <definedName name="Phinetz">Tabelle1!$D$229</definedName>
    <definedName name="Phinetz20">Tabelle1!$D$216</definedName>
    <definedName name="Pn">Tabelle1!$D$28</definedName>
    <definedName name="Pober">Tabelle1!#REF!</definedName>
    <definedName name="Pulse">Tabelle1!$D$49</definedName>
    <definedName name="Pv">Tabelle1!#REF!</definedName>
    <definedName name="Rbelag">Tabelle1!#REF!</definedName>
    <definedName name="rih">Tabelle1!$D$45</definedName>
    <definedName name="rimin">Tabelle1!$D$46</definedName>
    <definedName name="ritag">Tabelle1!#REF!</definedName>
    <definedName name="Rl">Tabelle1!$K$166:$K$194</definedName>
    <definedName name="Rl_MS">Tabelle1!#REF!</definedName>
    <definedName name="Rlbelag">Tabelle1!$H$166:$H$194</definedName>
    <definedName name="RlBelag_MS">Tabelle1!#REF!</definedName>
    <definedName name="Rlt">Tabelle1!$K$196</definedName>
    <definedName name="Rltwarm">Tabelle1!$M$196</definedName>
    <definedName name="Rsch">Tabelle1!$D$235</definedName>
    <definedName name="Rsch60">Tabelle1!$D$237</definedName>
    <definedName name="Rt">Tabelle1!$H$158</definedName>
    <definedName name="Rtl">Tabelle1!#REF!</definedName>
    <definedName name="Rtt">Tabelle1!$H$127:$H$155</definedName>
    <definedName name="Rün">Tabelle1!$D$119</definedName>
    <definedName name="Rünv">Tabelle1!$D$205</definedName>
    <definedName name="Rv">Tabelle1!#REF!</definedName>
    <definedName name="Sa">Tabelle1!$D$19</definedName>
    <definedName name="Sk3p160">Tabelle1!$C$221</definedName>
    <definedName name="Skün">Tabelle1!$D$11</definedName>
    <definedName name="Skv">Tabelle1!$D$231</definedName>
    <definedName name="SkVSa">Tabelle1!$D$22</definedName>
    <definedName name="Sn">Tabelle1!$D$31</definedName>
    <definedName name="Sober">Tabelle1!#REF!</definedName>
    <definedName name="Sos">Tabelle1!$D$52</definedName>
    <definedName name="Srt">Tabelle1!$E$127:$E$155</definedName>
    <definedName name="Starthilfe">Tabelle1!$D$36</definedName>
    <definedName name="Ubem">Tabelle1!$D$27</definedName>
    <definedName name="Ue">Tabelle1!#REF!</definedName>
    <definedName name="uk">Tabelle1!$F$127:$F$155</definedName>
    <definedName name="Ums">Tabelle1!#REF!</definedName>
    <definedName name="ur">Tabelle1!$G$127:$G$155</definedName>
    <definedName name="Urt">Tabelle1!$D$17</definedName>
    <definedName name="üt1">Tabelle1!$D$204</definedName>
    <definedName name="Uün">Tabelle1!$D$12</definedName>
    <definedName name="Uv">Tabelle1!$D$17</definedName>
    <definedName name="ux">Tabelle1!$I$127:$I$155</definedName>
    <definedName name="Winkelün">Tabelle1!$D$13</definedName>
    <definedName name="Xbelag">Tabelle1!#REF!</definedName>
    <definedName name="Xl">Tabelle1!$L$166:$L$194</definedName>
    <definedName name="Xlbelag">Tabelle1!$I$166:$I$194</definedName>
    <definedName name="XlBelag_MS">Tabelle1!#REF!</definedName>
    <definedName name="Xlt">Tabelle1!$L$196</definedName>
    <definedName name="Xsch">Tabelle1!$D$236</definedName>
    <definedName name="Xt">Tabelle1!$J$158</definedName>
    <definedName name="Xtt">Tabelle1!$J$127:$J$155</definedName>
    <definedName name="Xtt1">Tabelle1!$L$127:$L$155</definedName>
    <definedName name="Xün">Tabelle1!$D$120</definedName>
    <definedName name="Xünv">Tabelle1!$D$206</definedName>
    <definedName name="Xv">Tabelle1!#REF!</definedName>
    <definedName name="Zl">Tabelle1!#REF!</definedName>
    <definedName name="Zlt">Tabelle1!$D$212</definedName>
    <definedName name="Zlt160">Tabelle1!$C$212</definedName>
    <definedName name="Zlt70">Tabelle1!#REF!</definedName>
    <definedName name="Zsch">Tabelle1!$D$238</definedName>
    <definedName name="Zt">Tabelle1!$D$209</definedName>
    <definedName name="Zün">Tabelle1!$D$118</definedName>
    <definedName name="Zv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1" i="1"/>
  <c r="D40" i="1"/>
  <c r="D44" i="1" l="1"/>
  <c r="G148" i="1" l="1"/>
  <c r="G147" i="1"/>
  <c r="I147" i="1" s="1"/>
  <c r="G146" i="1"/>
  <c r="I146" i="1" s="1"/>
  <c r="G145" i="1"/>
  <c r="I145" i="1" s="1"/>
  <c r="G144" i="1"/>
  <c r="G143" i="1"/>
  <c r="I143" i="1" s="1"/>
  <c r="J143" i="1" s="1"/>
  <c r="L143" i="1" s="1"/>
  <c r="G142" i="1"/>
  <c r="I142" i="1" s="1"/>
  <c r="G141" i="1"/>
  <c r="I141" i="1" s="1"/>
  <c r="G140" i="1"/>
  <c r="L146" i="1"/>
  <c r="K146" i="1"/>
  <c r="J146" i="1"/>
  <c r="H146" i="1"/>
  <c r="L145" i="1"/>
  <c r="K145" i="1"/>
  <c r="J145" i="1"/>
  <c r="H145" i="1"/>
  <c r="L148" i="1"/>
  <c r="K148" i="1"/>
  <c r="J148" i="1"/>
  <c r="H148" i="1"/>
  <c r="I148" i="1"/>
  <c r="L147" i="1"/>
  <c r="K147" i="1"/>
  <c r="J147" i="1"/>
  <c r="H147" i="1"/>
  <c r="H144" i="1"/>
  <c r="K144" i="1" s="1"/>
  <c r="I144" i="1"/>
  <c r="J144" i="1" s="1"/>
  <c r="L144" i="1" s="1"/>
  <c r="H143" i="1"/>
  <c r="K143" i="1" s="1"/>
  <c r="L142" i="1"/>
  <c r="K142" i="1"/>
  <c r="J142" i="1"/>
  <c r="H142" i="1"/>
  <c r="J141" i="1"/>
  <c r="L141" i="1" s="1"/>
  <c r="H141" i="1"/>
  <c r="K141" i="1" s="1"/>
  <c r="J140" i="1"/>
  <c r="L140" i="1" s="1"/>
  <c r="H140" i="1"/>
  <c r="K140" i="1" s="1"/>
  <c r="I140" i="1"/>
  <c r="G139" i="1"/>
  <c r="J136" i="1"/>
  <c r="L136" i="1" s="1"/>
  <c r="I136" i="1"/>
  <c r="H136" i="1"/>
  <c r="K136" i="1" s="1"/>
  <c r="H181" i="1" l="1"/>
  <c r="D181" i="1" s="1"/>
  <c r="D176" i="1"/>
  <c r="K176" i="1" s="1"/>
  <c r="M176" i="1" s="1"/>
  <c r="L181" i="1" l="1"/>
  <c r="K181" i="1"/>
  <c r="M181" i="1" s="1"/>
  <c r="L176" i="1"/>
  <c r="K100" i="1"/>
  <c r="D31" i="1" l="1"/>
  <c r="D32" i="1" s="1"/>
  <c r="D49" i="1"/>
  <c r="D19" i="1"/>
  <c r="D118" i="1"/>
  <c r="D119" i="1" s="1"/>
  <c r="D204" i="1"/>
  <c r="D166" i="1"/>
  <c r="K166" i="1" s="1"/>
  <c r="M166" i="1" s="1"/>
  <c r="D167" i="1"/>
  <c r="K167" i="1" s="1"/>
  <c r="M167" i="1" s="1"/>
  <c r="D168" i="1"/>
  <c r="K168" i="1" s="1"/>
  <c r="M168" i="1" s="1"/>
  <c r="D169" i="1"/>
  <c r="L169" i="1" s="1"/>
  <c r="D170" i="1"/>
  <c r="K170" i="1" s="1"/>
  <c r="M170" i="1" s="1"/>
  <c r="D172" i="1"/>
  <c r="K172" i="1" s="1"/>
  <c r="M172" i="1" s="1"/>
  <c r="D173" i="1"/>
  <c r="L173" i="1" s="1"/>
  <c r="D174" i="1"/>
  <c r="K174" i="1" s="1"/>
  <c r="M174" i="1" s="1"/>
  <c r="D175" i="1"/>
  <c r="L175" i="1" s="1"/>
  <c r="D177" i="1"/>
  <c r="K177" i="1" s="1"/>
  <c r="D178" i="1"/>
  <c r="K178" i="1" s="1"/>
  <c r="M178" i="1" s="1"/>
  <c r="D179" i="1"/>
  <c r="K179" i="1" s="1"/>
  <c r="M179" i="1" s="1"/>
  <c r="D180" i="1"/>
  <c r="L180" i="1" s="1"/>
  <c r="D183" i="1"/>
  <c r="K183" i="1" s="1"/>
  <c r="M183" i="1" s="1"/>
  <c r="D184" i="1"/>
  <c r="L184" i="1" s="1"/>
  <c r="D185" i="1"/>
  <c r="K185" i="1" s="1"/>
  <c r="M185" i="1" s="1"/>
  <c r="D186" i="1"/>
  <c r="K186" i="1" s="1"/>
  <c r="M186" i="1" s="1"/>
  <c r="D187" i="1"/>
  <c r="K187" i="1" s="1"/>
  <c r="M187" i="1" s="1"/>
  <c r="D188" i="1"/>
  <c r="K188" i="1" s="1"/>
  <c r="M188" i="1" s="1"/>
  <c r="D190" i="1"/>
  <c r="K190" i="1" s="1"/>
  <c r="M190" i="1" s="1"/>
  <c r="D191" i="1"/>
  <c r="K191" i="1" s="1"/>
  <c r="M191" i="1" s="1"/>
  <c r="D192" i="1"/>
  <c r="L192" i="1" s="1"/>
  <c r="D193" i="1"/>
  <c r="L193" i="1" s="1"/>
  <c r="I139" i="1"/>
  <c r="D48" i="1"/>
  <c r="D46" i="1"/>
  <c r="K128" i="1"/>
  <c r="K129" i="1"/>
  <c r="K130" i="1"/>
  <c r="K131" i="1"/>
  <c r="K133" i="1"/>
  <c r="K135" i="1"/>
  <c r="H151" i="1"/>
  <c r="K151" i="1" s="1"/>
  <c r="J139" i="1"/>
  <c r="L139" i="1" s="1"/>
  <c r="H132" i="1"/>
  <c r="K132" i="1"/>
  <c r="K150" i="1"/>
  <c r="K152" i="1"/>
  <c r="K153" i="1"/>
  <c r="K154" i="1"/>
  <c r="L128" i="1"/>
  <c r="L129" i="1"/>
  <c r="L130" i="1"/>
  <c r="L131" i="1"/>
  <c r="L133" i="1"/>
  <c r="L135" i="1"/>
  <c r="L150" i="1"/>
  <c r="L152" i="1"/>
  <c r="L153" i="1"/>
  <c r="L154" i="1"/>
  <c r="H134" i="1"/>
  <c r="K134" i="1" s="1"/>
  <c r="I134" i="1"/>
  <c r="J134" i="1" s="1"/>
  <c r="L134" i="1" s="1"/>
  <c r="H153" i="1"/>
  <c r="I153" i="1"/>
  <c r="J153" i="1"/>
  <c r="D115" i="1"/>
  <c r="D124" i="1"/>
  <c r="J128" i="1"/>
  <c r="J130" i="1"/>
  <c r="H128" i="1"/>
  <c r="H130" i="1"/>
  <c r="D116" i="1"/>
  <c r="D117" i="1"/>
  <c r="J152" i="1"/>
  <c r="I152" i="1"/>
  <c r="H152" i="1"/>
  <c r="I128" i="1"/>
  <c r="J131" i="1"/>
  <c r="H131" i="1"/>
  <c r="I151" i="1"/>
  <c r="H129" i="1"/>
  <c r="I129" i="1"/>
  <c r="J129" i="1"/>
  <c r="I130" i="1"/>
  <c r="I131" i="1"/>
  <c r="I132" i="1"/>
  <c r="H133" i="1"/>
  <c r="I133" i="1"/>
  <c r="J133" i="1"/>
  <c r="H135" i="1"/>
  <c r="I135" i="1"/>
  <c r="J135" i="1"/>
  <c r="H150" i="1"/>
  <c r="I150" i="1"/>
  <c r="J150" i="1"/>
  <c r="H154" i="1"/>
  <c r="I154" i="1"/>
  <c r="J154" i="1"/>
  <c r="D219" i="1"/>
  <c r="J132" i="1"/>
  <c r="L132" i="1"/>
  <c r="L167" i="1"/>
  <c r="H139" i="1"/>
  <c r="K139" i="1" s="1"/>
  <c r="K193" i="1" l="1"/>
  <c r="M193" i="1" s="1"/>
  <c r="L187" i="1"/>
  <c r="L186" i="1"/>
  <c r="K192" i="1"/>
  <c r="M192" i="1" s="1"/>
  <c r="L179" i="1"/>
  <c r="K173" i="1"/>
  <c r="M173" i="1" s="1"/>
  <c r="L174" i="1"/>
  <c r="L168" i="1"/>
  <c r="K169" i="1"/>
  <c r="M169" i="1" s="1"/>
  <c r="L172" i="1"/>
  <c r="L185" i="1"/>
  <c r="K184" i="1"/>
  <c r="M184" i="1" s="1"/>
  <c r="L190" i="1"/>
  <c r="L178" i="1"/>
  <c r="L170" i="1"/>
  <c r="L166" i="1"/>
  <c r="J151" i="1"/>
  <c r="L151" i="1" s="1"/>
  <c r="J158" i="1" s="1"/>
  <c r="D208" i="1" s="1"/>
  <c r="D47" i="1"/>
  <c r="K64" i="1" s="1"/>
  <c r="K79" i="1"/>
  <c r="K76" i="1"/>
  <c r="H158" i="1"/>
  <c r="D207" i="1" s="1"/>
  <c r="K180" i="1"/>
  <c r="M180" i="1" s="1"/>
  <c r="D120" i="1"/>
  <c r="D42" i="1"/>
  <c r="D43" i="1" s="1"/>
  <c r="D52" i="1" s="1"/>
  <c r="L183" i="1"/>
  <c r="K175" i="1"/>
  <c r="M175" i="1" s="1"/>
  <c r="L188" i="1"/>
  <c r="L191" i="1"/>
  <c r="D196" i="1"/>
  <c r="D30" i="1"/>
  <c r="D73" i="1"/>
  <c r="M177" i="1"/>
  <c r="L177" i="1"/>
  <c r="D205" i="1"/>
  <c r="D202" i="1"/>
  <c r="D203" i="1" l="1"/>
  <c r="D206" i="1"/>
  <c r="K61" i="1"/>
  <c r="M196" i="1"/>
  <c r="D227" i="1" s="1"/>
  <c r="D209" i="1"/>
  <c r="D58" i="1"/>
  <c r="L196" i="1"/>
  <c r="K196" i="1"/>
  <c r="D214" i="1" l="1"/>
  <c r="D235" i="1"/>
  <c r="D237" i="1" s="1"/>
  <c r="D211" i="1"/>
  <c r="D236" i="1"/>
  <c r="D215" i="1"/>
  <c r="D228" i="1"/>
  <c r="D229" i="1" s="1"/>
  <c r="D210" i="1"/>
  <c r="D212" i="1"/>
  <c r="D238" i="1" l="1"/>
  <c r="D239" i="1" s="1"/>
  <c r="D218" i="1"/>
  <c r="D222" i="1" s="1"/>
  <c r="D223" i="1" s="1"/>
  <c r="D216" i="1"/>
  <c r="D230" i="1"/>
  <c r="D221" i="1" l="1"/>
  <c r="L90" i="1"/>
  <c r="F94" i="1"/>
  <c r="F102" i="1"/>
  <c r="F110" i="1"/>
  <c r="D99" i="1"/>
  <c r="D107" i="1"/>
  <c r="F95" i="1"/>
  <c r="F103" i="1"/>
  <c r="F92" i="1"/>
  <c r="D100" i="1"/>
  <c r="D108" i="1"/>
  <c r="F106" i="1"/>
  <c r="D103" i="1"/>
  <c r="F107" i="1"/>
  <c r="D104" i="1"/>
  <c r="F108" i="1"/>
  <c r="D105" i="1"/>
  <c r="F101" i="1"/>
  <c r="D98" i="1"/>
  <c r="F96" i="1"/>
  <c r="F104" i="1"/>
  <c r="D93" i="1"/>
  <c r="D101" i="1"/>
  <c r="D109" i="1"/>
  <c r="F97" i="1"/>
  <c r="F105" i="1"/>
  <c r="D94" i="1"/>
  <c r="D102" i="1"/>
  <c r="D110" i="1"/>
  <c r="F98" i="1"/>
  <c r="D95" i="1"/>
  <c r="D92" i="1"/>
  <c r="F99" i="1"/>
  <c r="D96" i="1"/>
  <c r="F100" i="1"/>
  <c r="D97" i="1"/>
  <c r="F93" i="1"/>
  <c r="F109" i="1"/>
  <c r="D106" i="1"/>
  <c r="D231" i="1"/>
  <c r="D76" i="1" l="1"/>
  <c r="D83" i="1" s="1"/>
  <c r="D64" i="1"/>
  <c r="D69" i="1" s="1"/>
  <c r="D61" i="1"/>
  <c r="D68" i="1" s="1"/>
  <c r="D79" i="1"/>
  <c r="D84" i="1" s="1"/>
  <c r="D22" i="1"/>
  <c r="D20" i="1"/>
</calcChain>
</file>

<file path=xl/sharedStrings.xml><?xml version="1.0" encoding="utf-8"?>
<sst xmlns="http://schemas.openxmlformats.org/spreadsheetml/2006/main" count="361" uniqueCount="270">
  <si>
    <t>Skün</t>
  </si>
  <si>
    <t>Winkel</t>
  </si>
  <si>
    <t>Zün</t>
  </si>
  <si>
    <t>Rün</t>
  </si>
  <si>
    <t>Xün</t>
  </si>
  <si>
    <t>MVA</t>
  </si>
  <si>
    <t>Uün</t>
  </si>
  <si>
    <t>kV</t>
  </si>
  <si>
    <t>°</t>
  </si>
  <si>
    <t>Uv</t>
  </si>
  <si>
    <t>Ohm</t>
  </si>
  <si>
    <t>Impedanz des übergeordneten Netzes</t>
  </si>
  <si>
    <t>verkette Spannung mit der das übergeordneten Netzes</t>
  </si>
  <si>
    <t>(3-2)</t>
  </si>
  <si>
    <t>(3-3)</t>
  </si>
  <si>
    <t>(3-4)</t>
  </si>
  <si>
    <t>Wirkwiderstand des übergeordneten Netzes</t>
  </si>
  <si>
    <t>Blindwiderstand des übergeordneten Netzes</t>
  </si>
  <si>
    <t>3.2.1 Impendanz des übergeordneten Netzes</t>
  </si>
  <si>
    <t>Netznennspannung am Verknüpfungspunkt</t>
  </si>
  <si>
    <t>Querschnitt</t>
  </si>
  <si>
    <t>Länge</t>
  </si>
  <si>
    <t>Xl</t>
  </si>
  <si>
    <t>km</t>
  </si>
  <si>
    <t>mm2</t>
  </si>
  <si>
    <t>Ohm/km</t>
  </si>
  <si>
    <t>Tab. 3-4</t>
  </si>
  <si>
    <t>Xlt</t>
  </si>
  <si>
    <t>Alpha</t>
  </si>
  <si>
    <t>(3-13)</t>
  </si>
  <si>
    <t>Rl20</t>
  </si>
  <si>
    <t>Rünv</t>
  </si>
  <si>
    <t>üt1</t>
  </si>
  <si>
    <t>(3-14)</t>
  </si>
  <si>
    <t>Xünv</t>
  </si>
  <si>
    <t>Wirkwiderstand des übergeordneten Netzes am Verknüpfungspunkt</t>
  </si>
  <si>
    <t>Blindwiderstand des übergeordneten Netzes am Verknüpfungspunkt</t>
  </si>
  <si>
    <t xml:space="preserve">Gesamter Wirkwiderstand am Verknüpfungspunkt </t>
  </si>
  <si>
    <t>Gesamter Blindwiderstand am Verknüpfungspunkt</t>
  </si>
  <si>
    <t>Gesamte Impedanz am Verknüpfungspunkt</t>
  </si>
  <si>
    <t>Typ</t>
  </si>
  <si>
    <t>Edkabel</t>
  </si>
  <si>
    <t>Kunsstoff-</t>
  </si>
  <si>
    <t>Vierleiter-</t>
  </si>
  <si>
    <t>AI</t>
  </si>
  <si>
    <t>Cu/Al</t>
  </si>
  <si>
    <t>Freileitungen</t>
  </si>
  <si>
    <t>Cu</t>
  </si>
  <si>
    <t>Cu-</t>
  </si>
  <si>
    <t>Aldrey-</t>
  </si>
  <si>
    <t>Kunststoff-</t>
  </si>
  <si>
    <t>Erdkabel</t>
  </si>
  <si>
    <t>Rlt</t>
  </si>
  <si>
    <t>Rlbelag</t>
  </si>
  <si>
    <t xml:space="preserve">Xlbelag      </t>
  </si>
  <si>
    <t>20°</t>
  </si>
  <si>
    <t>Teilstück 1</t>
  </si>
  <si>
    <t>Teilstück 2</t>
  </si>
  <si>
    <t>Netzkurzschlussleistung des übergeordneten Netzes (ohne Angaben ca. 100MVA)</t>
  </si>
  <si>
    <t>(3-10)</t>
  </si>
  <si>
    <t>(3-11)</t>
  </si>
  <si>
    <t>Netzwinkel</t>
  </si>
  <si>
    <t>Netzimpedanzwinkel am Verknüpfungspunkt</t>
  </si>
  <si>
    <t>3.2.2 Transformatorenimpedanz (Tabelle 3-1 / 3-2)</t>
  </si>
  <si>
    <t>kVA</t>
  </si>
  <si>
    <t>Projekt</t>
  </si>
  <si>
    <t>Verknüpfungspunkt</t>
  </si>
  <si>
    <t>Sn</t>
  </si>
  <si>
    <t>In</t>
  </si>
  <si>
    <t>A</t>
  </si>
  <si>
    <t>Nennstrom</t>
  </si>
  <si>
    <t>Ia</t>
  </si>
  <si>
    <t>cosphi anlauf</t>
  </si>
  <si>
    <t>Delta Sa</t>
  </si>
  <si>
    <t>Leistungsänderung im Anlauf</t>
  </si>
  <si>
    <t>Pn</t>
  </si>
  <si>
    <t>d</t>
  </si>
  <si>
    <t>PhiLast</t>
  </si>
  <si>
    <t>relative Spannungsänderung in %</t>
  </si>
  <si>
    <t>Anläufe</t>
  </si>
  <si>
    <t>1/min</t>
  </si>
  <si>
    <t>Anläufe/h</t>
  </si>
  <si>
    <t>dmax</t>
  </si>
  <si>
    <t>1/h</t>
  </si>
  <si>
    <t>(4-19)</t>
  </si>
  <si>
    <t>Ubem</t>
  </si>
  <si>
    <t>Sa</t>
  </si>
  <si>
    <t>Angaben zum Projekt</t>
  </si>
  <si>
    <t>Pulszahl</t>
  </si>
  <si>
    <t>zulässig</t>
  </si>
  <si>
    <t>kW</t>
  </si>
  <si>
    <t>Nenndaten Total</t>
  </si>
  <si>
    <t>Nennstrom am Verknüpfungspunkt/HAK Sicherung</t>
  </si>
  <si>
    <t>Scheinleistung im Anlauf</t>
  </si>
  <si>
    <t>Scheinleistung im Dauerbetrieb</t>
  </si>
  <si>
    <t>Ia/In</t>
  </si>
  <si>
    <t>Sos</t>
  </si>
  <si>
    <t>Bezeichnung</t>
  </si>
  <si>
    <t>Inv</t>
  </si>
  <si>
    <t>Nennspannung am Verknüpfungspunkt</t>
  </si>
  <si>
    <t>Übergeordnetes Netz</t>
  </si>
  <si>
    <t>Vereinfachte OS Abklärung (bei Verwendung von Starthilfen erforderlich)</t>
  </si>
  <si>
    <t>DIN 42500 (Oil) 1000 kVA</t>
  </si>
  <si>
    <t>DIN 42500 (Oil) 1600 kVA</t>
  </si>
  <si>
    <t>DIN 42500 (Oil) 2500 kVA</t>
  </si>
  <si>
    <t>Anzahl</t>
  </si>
  <si>
    <t>uk [%]</t>
  </si>
  <si>
    <t>ur [%]</t>
  </si>
  <si>
    <t>Srt [MVA]</t>
  </si>
  <si>
    <t>ux [%]</t>
  </si>
  <si>
    <t>Rt [Ohm]</t>
  </si>
  <si>
    <t>Xt [Ohm]</t>
  </si>
  <si>
    <t>DACHCZ 100kVA</t>
  </si>
  <si>
    <t>DACHCZ 125kVA</t>
  </si>
  <si>
    <t>DACHCZ 160kVA</t>
  </si>
  <si>
    <t>DACHCZ 200kVA</t>
  </si>
  <si>
    <t>DACHCZ 250 kVA</t>
  </si>
  <si>
    <t>DACHCZ 315kVA</t>
  </si>
  <si>
    <t>DACHCZ 400kVA</t>
  </si>
  <si>
    <t>DACHCZ 500kVA</t>
  </si>
  <si>
    <t>DACHCZ 630kVA</t>
  </si>
  <si>
    <t>DACHCZ uk=4%</t>
  </si>
  <si>
    <t>Oltransformatoren (Quelle NEPLAN Bibliothek)</t>
  </si>
  <si>
    <t>1/Rt</t>
  </si>
  <si>
    <t>1/Xt</t>
  </si>
  <si>
    <t>Anzahl und Typen der parallell geschalteten Transformatoren eintragen !!!</t>
  </si>
  <si>
    <t>Beschreibung</t>
  </si>
  <si>
    <t>Antriebsnennspannung(für OS Beurteilung relevant-kann von Spannung am Verknüpfungspunkt abweichen)</t>
  </si>
  <si>
    <t>Anlaufstrom (Direkt 5-8 In, Y/D 4-6 In, Softstarter 3-5 In, und FU 1.1-1.2)</t>
  </si>
  <si>
    <t>PF</t>
  </si>
  <si>
    <t>Teilstück 3</t>
  </si>
  <si>
    <t>Datum der Abklärung</t>
  </si>
  <si>
    <t>Abklärung durch</t>
  </si>
  <si>
    <t>mit Berücksichtigung der Netz- und Lastwinkel</t>
  </si>
  <si>
    <t>Delta_Sa</t>
  </si>
  <si>
    <t>DIN 42500 (Oil) 1250 kVA</t>
  </si>
  <si>
    <t>3. Minimale Netzkurzschlussleistung nach DACHCZ (Teil 2)</t>
  </si>
  <si>
    <t>verkettete Spannung des übergeordneten Netzes (meist höher als Nennspannung)</t>
  </si>
  <si>
    <t>Übersetzungverhältnis des Trafo auf Verknüpfungspunkt</t>
  </si>
  <si>
    <t>Rt</t>
  </si>
  <si>
    <t>Xt</t>
  </si>
  <si>
    <t xml:space="preserve">Wirkwiderstand der Transformationen </t>
  </si>
  <si>
    <t>Blindwiderstand der Transformationen</t>
  </si>
  <si>
    <t>3.2.3 Leitungsimpendanz (Tabelle 3-4) / Mittel- oder Niederspannungsnetz</t>
  </si>
  <si>
    <t>Angaben zur Anlage (Beurteilung von Spannungsänderungen und Flicker)</t>
  </si>
  <si>
    <t>Gesamte Leitungslänge</t>
  </si>
  <si>
    <t>Widerstand bei 20°</t>
  </si>
  <si>
    <t>Zt</t>
  </si>
  <si>
    <t>Impedanz der Transformatoren</t>
  </si>
  <si>
    <t>Zlt</t>
  </si>
  <si>
    <t xml:space="preserve">Wirkwiderstand der Leitungen </t>
  </si>
  <si>
    <t>Blindwiderstand der Leitungen</t>
  </si>
  <si>
    <t>Impedanz der Leitungen</t>
  </si>
  <si>
    <t>3.3 Netzimpedanzen und Kurzschlusströme am Verknüpfungspunkt</t>
  </si>
  <si>
    <t>Vertragliche Anschlussleistung (NS HAK Sicherung in kVA)</t>
  </si>
  <si>
    <t>SkV (DACHCZ)</t>
  </si>
  <si>
    <t>Impedanzwinkel Einspeisung (bei Hoch- und Höchstpannung 75-85°/bei NS 25°)</t>
  </si>
  <si>
    <t>Oberschwingungslast</t>
  </si>
  <si>
    <t>Winkel der Laständerung (wird für Berechnung von d_max benötigt)</t>
  </si>
  <si>
    <t>Verhältnis Skv/Sa</t>
  </si>
  <si>
    <t>mit Netzwinkel</t>
  </si>
  <si>
    <t>ungünstigster Fall</t>
  </si>
  <si>
    <t>Beurteilung der Spannungsänderungen</t>
  </si>
  <si>
    <t>Ia/In (Handeingabe)</t>
  </si>
  <si>
    <t>Verhältnis Anlaufstrom zu Nennstrom --&gt; Wenn auf dem Anschlussgesuch angegeben</t>
  </si>
  <si>
    <t>kA</t>
  </si>
  <si>
    <t>Dreipoliger Kurzschlussstrom (ikmax gemäss NIN2010)</t>
  </si>
  <si>
    <t>dmax (lastbedingt)</t>
  </si>
  <si>
    <t>Anlagenleistung</t>
  </si>
  <si>
    <t>cosphi im Anlauf (Softstarter, Y/D u. Direktanlauf ca. 0.2-0.6 - Umrichter ca. 0.9)</t>
  </si>
  <si>
    <t>min. Netzkurzschlussleistung am V (berechnet nach DACHCZ) - Berechnung gemäss Seite 3ff</t>
  </si>
  <si>
    <t>ik1p</t>
  </si>
  <si>
    <t>Anlauf/Erzeuger (Beurteilung von Spannungsänderungen/Spannungsanhebungen und Flicker)</t>
  </si>
  <si>
    <t>Anlauf/Erzeuger</t>
  </si>
  <si>
    <t>Schnelle Spannungsänderungen (schaltbedingt) / Spannungsanhebung bei Erzeugung</t>
  </si>
  <si>
    <t>einphasig</t>
  </si>
  <si>
    <t>nein</t>
  </si>
  <si>
    <r>
      <t>Anläufe pro Stunde (</t>
    </r>
    <r>
      <rPr>
        <b/>
        <sz val="11"/>
        <color indexed="10"/>
        <rFont val="Calibri"/>
        <family val="2"/>
      </rPr>
      <t>PV Anlage --&gt; 1 damit Grenzwert 3%</t>
    </r>
    <r>
      <rPr>
        <sz val="11"/>
        <color indexed="8"/>
        <rFont val="Calibri"/>
        <family val="2"/>
      </rPr>
      <t>)</t>
    </r>
  </si>
  <si>
    <t>Grenzwert für schnelle Spannungsänderungen (schaltbedingt) bzw. max. zul. Spannungsanhebung</t>
  </si>
  <si>
    <t>Grenzwert für langsame Spannungsänderungen (lastbedingt) - Beurteilung HAK Sicherung</t>
  </si>
  <si>
    <t>Rv70</t>
  </si>
  <si>
    <t>Xv70</t>
  </si>
  <si>
    <t>Zv70</t>
  </si>
  <si>
    <r>
      <t>Wirkleistung im Dauerbetrieb (Motor+Anlaufhilfe) /</t>
    </r>
    <r>
      <rPr>
        <b/>
        <sz val="11"/>
        <color indexed="10"/>
        <rFont val="Calibri"/>
        <family val="2"/>
      </rPr>
      <t>für einphasisge Beurteilung -&gt; einphasige Leistung</t>
    </r>
  </si>
  <si>
    <t>Direktanlauf und Y/D=0, FU und Softstart=6, AFE-Umrichter=99</t>
  </si>
  <si>
    <t>Anläufe pro Minute</t>
  </si>
  <si>
    <t>Basisdaten zum Projekt</t>
  </si>
  <si>
    <t>Skv20</t>
  </si>
  <si>
    <t>Phinetz</t>
  </si>
  <si>
    <t>Netzwinkel am Verknüpfungspunkt</t>
  </si>
  <si>
    <t>kVar</t>
  </si>
  <si>
    <t>Blindleistung im Dauerbetrieb</t>
  </si>
  <si>
    <t>Qn</t>
  </si>
  <si>
    <t>PV neg.</t>
  </si>
  <si>
    <t>Langsame Spannungsänderungen (lastbedingt aus HAK Sicherung dreiphasig)</t>
  </si>
  <si>
    <t>Beurteilung der langsamen Spannungsänderungen</t>
  </si>
  <si>
    <t>ik3p bzw. ikmax</t>
  </si>
  <si>
    <t>Netzkurzschlussleistung am Verknüpfungspunkt bei 20°</t>
  </si>
  <si>
    <t>1. Beurteilung der Spannungsänderung</t>
  </si>
  <si>
    <t>3. Minimale Netzkurzschlussleistung nach DACHCZ (Teil 1)</t>
  </si>
  <si>
    <t>Auslösung 5s
(HAK)</t>
  </si>
  <si>
    <t>Auslösung 120s
(Netz)</t>
  </si>
  <si>
    <t>Die Nullungsbedingungen werden gemäss Lehrmittel</t>
  </si>
  <si>
    <t>VSE Berufsprüfung/Meisterprüfung bei 20° überprüft.</t>
  </si>
  <si>
    <t>Für Spannungsabfallberechnungen gilt gemäss diesem</t>
  </si>
  <si>
    <t>Lehrmittel 60° für Kabelleitungen und 80° für Freileitungen</t>
  </si>
  <si>
    <t>Rltwarm</t>
  </si>
  <si>
    <t>Rlwar</t>
  </si>
  <si>
    <t>cosphi/PF im Dauerbetrieb (Motoren ohne FU ca. 0.85 / FU ca. 0.9 / PV =1)</t>
  </si>
  <si>
    <t>Auswahl des Anlaufverfahrens bzw. des Verbrauchers</t>
  </si>
  <si>
    <t>orange Zellen --&gt; Eingabe obligatorisch</t>
  </si>
  <si>
    <t xml:space="preserve">Achtung: </t>
  </si>
  <si>
    <t>Sicherungsempfehlung überprüft nicht den Leitungsnennstrom</t>
  </si>
  <si>
    <t>sondern ist lediglich auf Selektivität ausgelegt.</t>
  </si>
  <si>
    <t>Sicherung
[A]</t>
  </si>
  <si>
    <t xml:space="preserve">
[A]</t>
  </si>
  <si>
    <t>min. ik1p
[A]</t>
  </si>
  <si>
    <t>min ik1p
[A]</t>
  </si>
  <si>
    <t>Einpoliger Kurzschlussstrom am Verknüpfungspunkt</t>
  </si>
  <si>
    <t>relative lastbedingte Spannungsänderung in %</t>
  </si>
  <si>
    <t>max. relative lastbedingteSpannungsänderung in %</t>
  </si>
  <si>
    <t>max. relative Spannungsänderung in %</t>
  </si>
  <si>
    <t>schlimmster Fall oder bei unbekanntem Lastwinkel</t>
  </si>
  <si>
    <t xml:space="preserve"> </t>
  </si>
  <si>
    <t>gewählte HAK Sicherung</t>
  </si>
  <si>
    <t>vorgelagerte Sicherung</t>
  </si>
  <si>
    <t>mind.</t>
  </si>
  <si>
    <t>gewählte vorgelagerte Sicherung</t>
  </si>
  <si>
    <t>Effektive Absicherung</t>
  </si>
  <si>
    <t>16 (5mm)</t>
  </si>
  <si>
    <t>25 (6mm)</t>
  </si>
  <si>
    <t>35 (7mm)</t>
  </si>
  <si>
    <t>50 (8mm)</t>
  </si>
  <si>
    <t>70 (9mm)</t>
  </si>
  <si>
    <t>95 (10mm)</t>
  </si>
  <si>
    <t>2.1. Sicherungsberechnung gemäss Tabelle VSE</t>
  </si>
  <si>
    <t>Rauscher 100kVA</t>
  </si>
  <si>
    <t>Rauscher 160kVA</t>
  </si>
  <si>
    <t>Rauscher 250kVA</t>
  </si>
  <si>
    <t>Rauscher 400kVA</t>
  </si>
  <si>
    <t>Rauscher 630kVA</t>
  </si>
  <si>
    <t>Rauscher 1000kVA</t>
  </si>
  <si>
    <t>Rauscher 1250kVA</t>
  </si>
  <si>
    <t>Rauscher 1600kVA</t>
  </si>
  <si>
    <t>Rauscher 2000kVA</t>
  </si>
  <si>
    <t>Rauscher 2500kVA</t>
  </si>
  <si>
    <t>Rauschet Standardreihe</t>
  </si>
  <si>
    <t>Rsch</t>
  </si>
  <si>
    <t>XSch</t>
  </si>
  <si>
    <t>Rsch60</t>
  </si>
  <si>
    <t>ZSch</t>
  </si>
  <si>
    <t>Einpoliger Kurzschlussstrom berechnet - relevant für Nullung</t>
  </si>
  <si>
    <t>cosphi anlauf (Hand)</t>
  </si>
  <si>
    <t>Wenn obiger Wert variert werden soll (z.B. Blindleistungsregelung OV)</t>
  </si>
  <si>
    <t>Direktanlauf</t>
  </si>
  <si>
    <t>Skv</t>
  </si>
  <si>
    <t>min. Netzkurzschlussleistung am Verknüpfungspunkt bei 70°</t>
  </si>
  <si>
    <t>Einpoliger Kurzschlussstrom schlimmster Fall - relevant für Nullung (50% von ik3pmax)</t>
  </si>
  <si>
    <t>Kurzschlussleistung nach DACHCZ bei 70° Leitertemperatur</t>
  </si>
  <si>
    <t>einpoliger Kurzschlussstrom berechnet über Schleifenwiderstand bei 60° (Nullung)</t>
  </si>
  <si>
    <t>Impedanzwinkel des übergeordneten Netzes (bei Hoch- und Höchstpannung 75-85°) -&gt; Kap. 3.2.1</t>
  </si>
  <si>
    <t>*) Formeln 3-6 bis 3-9 werden nicht berücksichtigt</t>
  </si>
  <si>
    <t>*) Formeln 3-10 bis 3-12 werden nicht berücksichtigt</t>
  </si>
  <si>
    <t>Rk</t>
  </si>
  <si>
    <t>Xk</t>
  </si>
  <si>
    <t>Zk</t>
  </si>
  <si>
    <t>(3-19)</t>
  </si>
  <si>
    <t>(3-18)</t>
  </si>
  <si>
    <t>Verhältnis Anlaufstrom zu Nennstrom (gemäss DaCHCZ Tabelle 4-1)</t>
  </si>
  <si>
    <t>PARMELTEC DACHCZ Abklärung V4.2 (DACHCZ 3. Ausgabe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</si>
</sst>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[$-807]d/\ mmmm\ yyyy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6"/>
      <name val="Calibri"/>
      <family val="2"/>
    </font>
    <font>
      <b/>
      <i/>
      <sz val="11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10"/>
      </left>
      <right/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thick">
        <color indexed="10"/>
      </right>
      <top/>
      <bottom/>
      <diagonal/>
    </border>
  </borders>
  <cellStyleXfs count="4">
    <xf numFmtId="0" fontId="0" fillId="0" borderId="0"/>
    <xf numFmtId="0" fontId="30" fillId="0" borderId="0"/>
    <xf numFmtId="0" fontId="28" fillId="0" borderId="0"/>
    <xf numFmtId="0" fontId="29" fillId="0" borderId="0"/>
  </cellStyleXfs>
  <cellXfs count="221">
    <xf numFmtId="0" fontId="0" fillId="0" borderId="0" xfId="0"/>
    <xf numFmtId="0" fontId="4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10" fillId="0" borderId="0" xfId="0" applyFont="1"/>
    <xf numFmtId="0" fontId="12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/>
    <xf numFmtId="0" fontId="9" fillId="0" borderId="0" xfId="0" applyFont="1"/>
    <xf numFmtId="0" fontId="9" fillId="0" borderId="5" xfId="0" applyFont="1" applyBorder="1"/>
    <xf numFmtId="0" fontId="13" fillId="0" borderId="0" xfId="0" applyFont="1"/>
    <xf numFmtId="0" fontId="13" fillId="0" borderId="5" xfId="0" applyFont="1" applyBorder="1"/>
    <xf numFmtId="0" fontId="13" fillId="0" borderId="4" xfId="0" applyFont="1" applyBorder="1"/>
    <xf numFmtId="0" fontId="13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4" fillId="0" borderId="4" xfId="0" applyFont="1" applyBorder="1"/>
    <xf numFmtId="0" fontId="14" fillId="0" borderId="0" xfId="0" applyFont="1"/>
    <xf numFmtId="0" fontId="14" fillId="0" borderId="5" xfId="0" applyFont="1" applyBorder="1"/>
    <xf numFmtId="0" fontId="15" fillId="0" borderId="4" xfId="0" applyFont="1" applyBorder="1"/>
    <xf numFmtId="0" fontId="15" fillId="0" borderId="0" xfId="0" applyFont="1"/>
    <xf numFmtId="0" fontId="15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9" fillId="0" borderId="2" xfId="0" applyFont="1" applyBorder="1" applyAlignment="1">
      <alignment vertical="center"/>
    </xf>
    <xf numFmtId="0" fontId="16" fillId="0" borderId="0" xfId="0" applyFont="1"/>
    <xf numFmtId="0" fontId="16" fillId="0" borderId="5" xfId="0" applyFont="1" applyBorder="1"/>
    <xf numFmtId="0" fontId="9" fillId="0" borderId="13" xfId="0" applyFont="1" applyBorder="1"/>
    <xf numFmtId="0" fontId="9" fillId="0" borderId="14" xfId="0" applyFont="1" applyBorder="1"/>
    <xf numFmtId="0" fontId="17" fillId="0" borderId="5" xfId="0" applyFont="1" applyBorder="1"/>
    <xf numFmtId="0" fontId="17" fillId="0" borderId="0" xfId="0" applyFont="1"/>
    <xf numFmtId="0" fontId="17" fillId="0" borderId="4" xfId="0" applyFont="1" applyBorder="1"/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4" xfId="0" applyFont="1" applyBorder="1"/>
    <xf numFmtId="0" fontId="20" fillId="0" borderId="5" xfId="0" applyFont="1" applyBorder="1"/>
    <xf numFmtId="0" fontId="20" fillId="0" borderId="0" xfId="0" applyFont="1"/>
    <xf numFmtId="0" fontId="1" fillId="0" borderId="4" xfId="0" applyFont="1" applyBorder="1"/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center"/>
    </xf>
    <xf numFmtId="1" fontId="15" fillId="2" borderId="0" xfId="0" applyNumberFormat="1" applyFont="1" applyFill="1" applyAlignment="1">
      <alignment horizontal="center"/>
    </xf>
    <xf numFmtId="164" fontId="15" fillId="0" borderId="0" xfId="0" applyNumberFormat="1" applyFont="1"/>
    <xf numFmtId="165" fontId="15" fillId="0" borderId="0" xfId="0" applyNumberFormat="1" applyFont="1"/>
    <xf numFmtId="1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7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4" fillId="0" borderId="5" xfId="0" applyFont="1" applyBorder="1"/>
    <xf numFmtId="0" fontId="24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" fillId="0" borderId="0" xfId="0" applyFont="1"/>
    <xf numFmtId="15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/>
    <xf numFmtId="164" fontId="23" fillId="0" borderId="0" xfId="0" applyNumberFormat="1" applyFont="1" applyAlignment="1">
      <alignment horizontal="left"/>
    </xf>
    <xf numFmtId="0" fontId="9" fillId="4" borderId="0" xfId="0" applyFont="1" applyFill="1" applyAlignment="1">
      <alignment horizontal="center"/>
    </xf>
    <xf numFmtId="164" fontId="13" fillId="4" borderId="0" xfId="0" applyNumberFormat="1" applyFont="1" applyFill="1" applyAlignment="1">
      <alignment horizontal="center"/>
    </xf>
    <xf numFmtId="164" fontId="15" fillId="4" borderId="0" xfId="0" applyNumberFormat="1" applyFont="1" applyFill="1"/>
    <xf numFmtId="164" fontId="15" fillId="4" borderId="0" xfId="0" applyNumberFormat="1" applyFont="1" applyFill="1" applyAlignment="1">
      <alignment horizontal="right"/>
    </xf>
    <xf numFmtId="164" fontId="5" fillId="0" borderId="18" xfId="0" applyNumberFormat="1" applyFont="1" applyBorder="1" applyAlignment="1">
      <alignment horizontal="center"/>
    </xf>
    <xf numFmtId="0" fontId="25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6" fontId="15" fillId="4" borderId="0" xfId="0" applyNumberFormat="1" applyFont="1" applyFill="1"/>
    <xf numFmtId="1" fontId="15" fillId="4" borderId="0" xfId="0" applyNumberFormat="1" applyFont="1" applyFill="1"/>
    <xf numFmtId="166" fontId="15" fillId="0" borderId="0" xfId="0" applyNumberFormat="1" applyFont="1"/>
    <xf numFmtId="166" fontId="15" fillId="0" borderId="0" xfId="0" applyNumberFormat="1" applyFont="1" applyAlignment="1">
      <alignment horizontal="right"/>
    </xf>
    <xf numFmtId="10" fontId="13" fillId="0" borderId="0" xfId="0" applyNumberFormat="1" applyFont="1" applyAlignment="1">
      <alignment horizontal="center"/>
    </xf>
    <xf numFmtId="0" fontId="3" fillId="0" borderId="23" xfId="0" applyFont="1" applyBorder="1"/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13" fillId="0" borderId="25" xfId="0" applyFont="1" applyBorder="1"/>
    <xf numFmtId="0" fontId="13" fillId="0" borderId="26" xfId="0" applyFont="1" applyBorder="1"/>
    <xf numFmtId="0" fontId="9" fillId="0" borderId="27" xfId="0" applyFont="1" applyBorder="1"/>
    <xf numFmtId="0" fontId="3" fillId="0" borderId="26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29" xfId="0" applyFont="1" applyBorder="1" applyAlignment="1">
      <alignment horizontal="left"/>
    </xf>
    <xf numFmtId="0" fontId="9" fillId="0" borderId="30" xfId="0" applyFont="1" applyBorder="1"/>
    <xf numFmtId="0" fontId="5" fillId="0" borderId="12" xfId="0" applyFont="1" applyBorder="1"/>
    <xf numFmtId="0" fontId="9" fillId="0" borderId="13" xfId="0" applyFont="1" applyBorder="1" applyAlignment="1">
      <alignment horizontal="left"/>
    </xf>
    <xf numFmtId="0" fontId="9" fillId="0" borderId="22" xfId="0" applyFont="1" applyBorder="1"/>
    <xf numFmtId="0" fontId="9" fillId="0" borderId="31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21" fillId="0" borderId="16" xfId="0" applyFont="1" applyBorder="1" applyAlignment="1">
      <alignment horizontal="left"/>
    </xf>
    <xf numFmtId="0" fontId="6" fillId="0" borderId="4" xfId="0" applyFont="1" applyBorder="1"/>
    <xf numFmtId="0" fontId="20" fillId="0" borderId="19" xfId="0" applyFont="1" applyBorder="1"/>
    <xf numFmtId="166" fontId="3" fillId="4" borderId="0" xfId="0" applyNumberFormat="1" applyFont="1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166" fontId="23" fillId="2" borderId="0" xfId="0" applyNumberFormat="1" applyFont="1" applyFill="1" applyAlignment="1">
      <alignment horizontal="center"/>
    </xf>
    <xf numFmtId="2" fontId="23" fillId="2" borderId="0" xfId="0" applyNumberFormat="1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166" fontId="7" fillId="4" borderId="0" xfId="0" applyNumberFormat="1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9" fontId="7" fillId="4" borderId="0" xfId="0" applyNumberFormat="1" applyFont="1" applyFill="1" applyAlignment="1">
      <alignment horizontal="center"/>
    </xf>
    <xf numFmtId="0" fontId="26" fillId="0" borderId="26" xfId="0" applyFont="1" applyBorder="1"/>
    <xf numFmtId="0" fontId="26" fillId="0" borderId="0" xfId="0" applyFont="1"/>
    <xf numFmtId="164" fontId="9" fillId="3" borderId="19" xfId="0" applyNumberFormat="1" applyFont="1" applyFill="1" applyBorder="1" applyAlignment="1">
      <alignment horizontal="center"/>
    </xf>
    <xf numFmtId="164" fontId="13" fillId="3" borderId="19" xfId="0" applyNumberFormat="1" applyFont="1" applyFill="1" applyBorder="1" applyAlignment="1">
      <alignment horizontal="center"/>
    </xf>
    <xf numFmtId="164" fontId="5" fillId="4" borderId="21" xfId="0" applyNumberFormat="1" applyFont="1" applyFill="1" applyBorder="1" applyAlignment="1">
      <alignment horizontal="center"/>
    </xf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/>
    <xf numFmtId="10" fontId="27" fillId="5" borderId="0" xfId="0" applyNumberFormat="1" applyFont="1" applyFill="1" applyAlignment="1">
      <alignment horizontal="center"/>
    </xf>
    <xf numFmtId="0" fontId="21" fillId="0" borderId="0" xfId="0" applyFont="1" applyAlignment="1">
      <alignment horizontal="left"/>
    </xf>
    <xf numFmtId="0" fontId="27" fillId="0" borderId="0" xfId="0" applyFont="1"/>
    <xf numFmtId="0" fontId="15" fillId="0" borderId="9" xfId="0" applyFont="1" applyBorder="1"/>
    <xf numFmtId="0" fontId="15" fillId="0" borderId="10" xfId="0" applyFont="1" applyBorder="1"/>
    <xf numFmtId="164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3" fillId="0" borderId="10" xfId="0" applyFont="1" applyBorder="1"/>
    <xf numFmtId="0" fontId="9" fillId="0" borderId="10" xfId="0" applyFont="1" applyBorder="1" applyAlignment="1">
      <alignment horizontal="right"/>
    </xf>
    <xf numFmtId="166" fontId="7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16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13" fillId="6" borderId="0" xfId="0" applyFont="1" applyFill="1"/>
    <xf numFmtId="1" fontId="23" fillId="6" borderId="0" xfId="0" applyNumberFormat="1" applyFont="1" applyFill="1" applyAlignment="1">
      <alignment horizontal="center"/>
    </xf>
    <xf numFmtId="166" fontId="23" fillId="6" borderId="0" xfId="0" applyNumberFormat="1" applyFont="1" applyFill="1" applyAlignment="1">
      <alignment horizontal="center"/>
    </xf>
    <xf numFmtId="2" fontId="23" fillId="6" borderId="0" xfId="0" applyNumberFormat="1" applyFont="1" applyFill="1" applyAlignment="1">
      <alignment horizontal="center"/>
    </xf>
    <xf numFmtId="0" fontId="17" fillId="7" borderId="0" xfId="0" applyFont="1" applyFill="1"/>
    <xf numFmtId="0" fontId="1" fillId="8" borderId="5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1" fillId="0" borderId="0" xfId="0" applyFont="1" applyAlignment="1">
      <alignment vertical="center"/>
    </xf>
    <xf numFmtId="9" fontId="32" fillId="4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" fontId="5" fillId="4" borderId="2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7" borderId="0" xfId="0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3" fillId="0" borderId="9" xfId="0" applyFont="1" applyBorder="1"/>
    <xf numFmtId="0" fontId="1" fillId="0" borderId="10" xfId="0" applyFont="1" applyBorder="1"/>
    <xf numFmtId="0" fontId="1" fillId="6" borderId="10" xfId="0" applyFont="1" applyFill="1" applyBorder="1"/>
    <xf numFmtId="0" fontId="1" fillId="0" borderId="11" xfId="0" applyFont="1" applyBorder="1"/>
    <xf numFmtId="0" fontId="3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2" fontId="15" fillId="0" borderId="0" xfId="0" applyNumberFormat="1" applyFont="1" applyAlignment="1">
      <alignment horizontal="left"/>
    </xf>
    <xf numFmtId="164" fontId="5" fillId="0" borderId="10" xfId="0" applyNumberFormat="1" applyFont="1" applyBorder="1" applyAlignment="1">
      <alignment horizontal="center"/>
    </xf>
    <xf numFmtId="164" fontId="9" fillId="3" borderId="18" xfId="0" applyNumberFormat="1" applyFont="1" applyFill="1" applyBorder="1" applyAlignment="1">
      <alignment horizontal="center"/>
    </xf>
    <xf numFmtId="2" fontId="7" fillId="7" borderId="0" xfId="0" applyNumberFormat="1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9" xfId="0" applyFont="1" applyBorder="1"/>
    <xf numFmtId="0" fontId="5" fillId="0" borderId="10" xfId="0" applyFont="1" applyBorder="1"/>
    <xf numFmtId="0" fontId="6" fillId="0" borderId="10" xfId="0" applyFont="1" applyBorder="1"/>
    <xf numFmtId="164" fontId="5" fillId="0" borderId="19" xfId="0" applyNumberFormat="1" applyFont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5" fillId="4" borderId="20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3" fillId="6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167" fontId="23" fillId="2" borderId="0" xfId="0" applyNumberFormat="1" applyFont="1" applyFill="1" applyAlignment="1">
      <alignment horizontal="left"/>
    </xf>
    <xf numFmtId="0" fontId="5" fillId="5" borderId="0" xfId="0" applyFont="1" applyFill="1" applyAlignment="1">
      <alignment horizontal="left"/>
    </xf>
  </cellXfs>
  <cellStyles count="4"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3</xdr:col>
      <xdr:colOff>626475</xdr:colOff>
      <xdr:row>86</xdr:row>
      <xdr:rowOff>579651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9050000"/>
          <a:ext cx="2160000" cy="5796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266475</xdr:colOff>
      <xdr:row>0</xdr:row>
      <xdr:rowOff>632432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69E82E8-4FDD-0A92-5EBE-E09AF595A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800000" cy="6324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3</xdr:col>
      <xdr:colOff>266475</xdr:colOff>
      <xdr:row>54</xdr:row>
      <xdr:rowOff>632432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57D670FD-F460-459A-BBD4-DFE904E0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20475"/>
          <a:ext cx="1800000" cy="6324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3</xdr:col>
      <xdr:colOff>266475</xdr:colOff>
      <xdr:row>111</xdr:row>
      <xdr:rowOff>632432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B4AFA385-1A79-440B-ADBF-3442DE169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5146000"/>
          <a:ext cx="1800000" cy="6324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3</xdr:col>
      <xdr:colOff>266475</xdr:colOff>
      <xdr:row>159</xdr:row>
      <xdr:rowOff>632432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DA580B75-5EFC-4DEE-8E3B-04427B757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5071050"/>
          <a:ext cx="1800000" cy="632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40"/>
  <sheetViews>
    <sheetView tabSelected="1" view="pageBreakPreview" zoomScaleNormal="100" zoomScaleSheetLayoutView="100" workbookViewId="0">
      <selection activeCell="B160" sqref="B160"/>
    </sheetView>
  </sheetViews>
  <sheetFormatPr baseColWidth="10" defaultColWidth="11.42578125" defaultRowHeight="15" x14ac:dyDescent="0.25"/>
  <cols>
    <col min="1" max="1" width="1.85546875" style="53" customWidth="1"/>
    <col min="2" max="2" width="11.42578125" style="53"/>
    <col min="3" max="3" width="11.5703125" style="53" bestFit="1" customWidth="1"/>
    <col min="4" max="4" width="12" style="53" bestFit="1" customWidth="1"/>
    <col min="5" max="6" width="11.42578125" style="53"/>
    <col min="7" max="7" width="11.5703125" style="82" customWidth="1"/>
    <col min="8" max="8" width="12.5703125" style="53" bestFit="1" customWidth="1"/>
    <col min="9" max="9" width="13.28515625" style="53" customWidth="1"/>
    <col min="10" max="10" width="11.5703125" style="53" bestFit="1" customWidth="1"/>
    <col min="11" max="11" width="12.140625" style="53" bestFit="1" customWidth="1"/>
    <col min="12" max="12" width="13.42578125" style="53" bestFit="1" customWidth="1"/>
    <col min="13" max="13" width="12.140625" style="53" bestFit="1" customWidth="1"/>
    <col min="14" max="14" width="2.28515625" style="53" customWidth="1"/>
    <col min="15" max="16384" width="11.42578125" style="53"/>
  </cols>
  <sheetData>
    <row r="1" spans="1:14" s="11" customFormat="1" ht="69.95" customHeight="1" thickBot="1" x14ac:dyDescent="0.3">
      <c r="A1" s="7"/>
      <c r="B1" s="8"/>
      <c r="C1" s="8"/>
      <c r="D1" s="8"/>
      <c r="E1" s="1" t="s">
        <v>269</v>
      </c>
      <c r="F1" s="9"/>
      <c r="G1" s="75"/>
      <c r="H1" s="9"/>
      <c r="I1" s="9"/>
      <c r="J1" s="9"/>
      <c r="K1" s="9"/>
      <c r="L1" s="9"/>
      <c r="M1" s="9"/>
      <c r="N1" s="10"/>
    </row>
    <row r="2" spans="1:14" s="13" customFormat="1" x14ac:dyDescent="0.25">
      <c r="A2" s="12"/>
      <c r="G2" s="72"/>
      <c r="N2" s="14"/>
    </row>
    <row r="3" spans="1:14" s="13" customFormat="1" ht="21" x14ac:dyDescent="0.35">
      <c r="A3" s="17"/>
      <c r="B3" s="147" t="s">
        <v>186</v>
      </c>
      <c r="C3" s="15"/>
      <c r="D3" s="15"/>
      <c r="E3" s="15"/>
      <c r="F3" s="15"/>
      <c r="G3" s="71"/>
      <c r="H3" s="15"/>
      <c r="I3" s="174"/>
      <c r="J3" s="15" t="s">
        <v>210</v>
      </c>
      <c r="K3" s="15"/>
      <c r="L3" s="15"/>
      <c r="M3" s="15"/>
      <c r="N3" s="16"/>
    </row>
    <row r="4" spans="1:14" s="13" customFormat="1" ht="21" x14ac:dyDescent="0.35">
      <c r="A4" s="17"/>
      <c r="B4" s="147"/>
      <c r="C4" s="15"/>
      <c r="D4" s="15"/>
      <c r="E4" s="15"/>
      <c r="F4" s="15"/>
      <c r="G4" s="71"/>
      <c r="H4" s="15"/>
      <c r="I4" s="15"/>
      <c r="J4" s="15"/>
      <c r="K4" s="15"/>
      <c r="L4" s="15"/>
      <c r="M4" s="15"/>
      <c r="N4" s="16"/>
    </row>
    <row r="5" spans="1:14" s="15" customFormat="1" ht="18.75" x14ac:dyDescent="0.3">
      <c r="A5" s="12"/>
      <c r="B5" s="2" t="s">
        <v>87</v>
      </c>
      <c r="E5" s="90"/>
      <c r="G5" s="71"/>
      <c r="N5" s="16"/>
    </row>
    <row r="6" spans="1:14" s="15" customFormat="1" x14ac:dyDescent="0.25">
      <c r="A6" s="12"/>
      <c r="B6" s="5" t="s">
        <v>65</v>
      </c>
      <c r="C6" s="5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16"/>
    </row>
    <row r="7" spans="1:14" s="15" customFormat="1" x14ac:dyDescent="0.25">
      <c r="A7" s="12"/>
      <c r="B7" s="5" t="s">
        <v>131</v>
      </c>
      <c r="C7" s="5"/>
      <c r="D7" s="219"/>
      <c r="E7" s="219"/>
      <c r="F7" s="5" t="s">
        <v>132</v>
      </c>
      <c r="H7" s="219"/>
      <c r="I7" s="219"/>
      <c r="J7" s="219"/>
      <c r="K7" s="219"/>
      <c r="L7" s="219"/>
      <c r="M7" s="219"/>
      <c r="N7" s="16"/>
    </row>
    <row r="8" spans="1:14" s="15" customFormat="1" x14ac:dyDescent="0.25">
      <c r="A8" s="12"/>
      <c r="B8" s="5"/>
      <c r="C8" s="5"/>
      <c r="D8" s="88"/>
      <c r="G8" s="71"/>
      <c r="N8" s="16"/>
    </row>
    <row r="9" spans="1:14" s="13" customFormat="1" ht="18.75" x14ac:dyDescent="0.3">
      <c r="A9" s="17"/>
      <c r="B9" s="2" t="s">
        <v>100</v>
      </c>
      <c r="C9" s="4"/>
      <c r="G9" s="72"/>
      <c r="N9" s="14"/>
    </row>
    <row r="10" spans="1:14" s="15" customFormat="1" x14ac:dyDescent="0.25">
      <c r="A10" s="12"/>
      <c r="B10" s="5" t="s">
        <v>97</v>
      </c>
      <c r="C10" s="5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16"/>
    </row>
    <row r="11" spans="1:14" s="13" customFormat="1" x14ac:dyDescent="0.25">
      <c r="A11" s="12"/>
      <c r="B11" s="4" t="s">
        <v>0</v>
      </c>
      <c r="D11" s="129">
        <v>100</v>
      </c>
      <c r="E11" s="13" t="s">
        <v>5</v>
      </c>
      <c r="F11" s="72" t="s">
        <v>58</v>
      </c>
      <c r="N11" s="14"/>
    </row>
    <row r="12" spans="1:14" s="13" customFormat="1" x14ac:dyDescent="0.25">
      <c r="A12" s="12"/>
      <c r="B12" s="4" t="s">
        <v>6</v>
      </c>
      <c r="D12" s="129">
        <v>16</v>
      </c>
      <c r="E12" s="13" t="s">
        <v>7</v>
      </c>
      <c r="F12" s="72" t="s">
        <v>137</v>
      </c>
      <c r="N12" s="14"/>
    </row>
    <row r="13" spans="1:14" s="13" customFormat="1" x14ac:dyDescent="0.25">
      <c r="A13" s="12"/>
      <c r="B13" s="4" t="s">
        <v>1</v>
      </c>
      <c r="D13" s="129">
        <v>80</v>
      </c>
      <c r="E13" s="13" t="s">
        <v>8</v>
      </c>
      <c r="F13" s="72" t="s">
        <v>156</v>
      </c>
      <c r="N13" s="14"/>
    </row>
    <row r="14" spans="1:14" s="15" customFormat="1" x14ac:dyDescent="0.25">
      <c r="A14" s="12"/>
      <c r="B14" s="5"/>
      <c r="C14" s="5"/>
      <c r="G14" s="71"/>
      <c r="N14" s="16"/>
    </row>
    <row r="15" spans="1:14" s="13" customFormat="1" ht="18.75" x14ac:dyDescent="0.3">
      <c r="A15" s="17"/>
      <c r="B15" s="2" t="s">
        <v>66</v>
      </c>
      <c r="C15" s="4"/>
      <c r="G15" s="72"/>
      <c r="N15" s="14"/>
    </row>
    <row r="16" spans="1:14" s="15" customFormat="1" x14ac:dyDescent="0.25">
      <c r="A16" s="12"/>
      <c r="B16" s="5" t="s">
        <v>97</v>
      </c>
      <c r="C16" s="5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6"/>
    </row>
    <row r="17" spans="1:14" s="13" customFormat="1" x14ac:dyDescent="0.25">
      <c r="A17" s="17"/>
      <c r="B17" s="4" t="s">
        <v>9</v>
      </c>
      <c r="D17" s="129">
        <v>0.4</v>
      </c>
      <c r="E17" s="13" t="s">
        <v>7</v>
      </c>
      <c r="F17" s="13" t="s">
        <v>19</v>
      </c>
      <c r="G17" s="72"/>
      <c r="N17" s="14"/>
    </row>
    <row r="18" spans="1:14" s="13" customFormat="1" x14ac:dyDescent="0.25">
      <c r="A18" s="17"/>
      <c r="B18" s="4" t="s">
        <v>98</v>
      </c>
      <c r="D18" s="175">
        <v>80</v>
      </c>
      <c r="E18" s="13" t="s">
        <v>69</v>
      </c>
      <c r="F18" s="13" t="s">
        <v>92</v>
      </c>
      <c r="G18" s="72"/>
      <c r="N18" s="14"/>
    </row>
    <row r="19" spans="1:14" s="15" customFormat="1" x14ac:dyDescent="0.25">
      <c r="A19" s="12"/>
      <c r="B19" s="5" t="s">
        <v>86</v>
      </c>
      <c r="D19" s="127">
        <f>Uv*ISA*SQRT(3)</f>
        <v>55.42562584220407</v>
      </c>
      <c r="E19" s="15" t="s">
        <v>64</v>
      </c>
      <c r="F19" s="15" t="s">
        <v>154</v>
      </c>
      <c r="G19" s="71"/>
      <c r="N19" s="16"/>
    </row>
    <row r="20" spans="1:14" x14ac:dyDescent="0.25">
      <c r="A20" s="54"/>
      <c r="B20" s="5" t="s">
        <v>155</v>
      </c>
      <c r="D20" s="127">
        <f>Skv</f>
        <v>100.00000000000003</v>
      </c>
      <c r="E20" s="15" t="s">
        <v>5</v>
      </c>
      <c r="F20" s="15" t="s">
        <v>170</v>
      </c>
      <c r="N20" s="52"/>
    </row>
    <row r="21" spans="1:14" x14ac:dyDescent="0.25">
      <c r="A21" s="54"/>
      <c r="B21" s="4" t="s">
        <v>188</v>
      </c>
      <c r="D21" s="127">
        <f>Phinetz</f>
        <v>80</v>
      </c>
      <c r="E21" s="87" t="s">
        <v>8</v>
      </c>
      <c r="F21" s="87" t="s">
        <v>189</v>
      </c>
      <c r="N21" s="52"/>
    </row>
    <row r="22" spans="1:14" x14ac:dyDescent="0.25">
      <c r="A22" s="54"/>
      <c r="B22" s="5" t="s">
        <v>159</v>
      </c>
      <c r="D22" s="128">
        <f>Skv*1000/Sa</f>
        <v>1804.2195912175812</v>
      </c>
      <c r="E22" s="15"/>
      <c r="F22" s="15"/>
      <c r="N22" s="52"/>
    </row>
    <row r="23" spans="1:14" s="15" customFormat="1" x14ac:dyDescent="0.25">
      <c r="A23" s="12"/>
      <c r="B23" s="5"/>
      <c r="D23" s="18"/>
      <c r="G23" s="71"/>
      <c r="N23" s="16"/>
    </row>
    <row r="24" spans="1:14" s="15" customFormat="1" ht="21" x14ac:dyDescent="0.35">
      <c r="A24" s="17"/>
      <c r="B24" s="147" t="s">
        <v>144</v>
      </c>
      <c r="D24" s="18"/>
      <c r="G24" s="71"/>
      <c r="N24" s="16"/>
    </row>
    <row r="25" spans="1:14" s="13" customFormat="1" x14ac:dyDescent="0.25">
      <c r="A25" s="17"/>
      <c r="B25" s="19" t="s">
        <v>91</v>
      </c>
      <c r="D25" s="20"/>
      <c r="G25" s="72"/>
      <c r="I25" s="4"/>
      <c r="N25" s="14"/>
    </row>
    <row r="26" spans="1:14" s="84" customFormat="1" x14ac:dyDescent="0.25">
      <c r="A26" s="62"/>
      <c r="B26" s="4" t="s">
        <v>126</v>
      </c>
      <c r="C26" s="13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83"/>
    </row>
    <row r="27" spans="1:14" s="15" customFormat="1" x14ac:dyDescent="0.25">
      <c r="A27" s="12"/>
      <c r="B27" s="5" t="s">
        <v>85</v>
      </c>
      <c r="D27" s="130">
        <v>0.4</v>
      </c>
      <c r="E27" s="15" t="s">
        <v>7</v>
      </c>
      <c r="F27" s="15" t="s">
        <v>127</v>
      </c>
      <c r="G27" s="71"/>
      <c r="N27" s="16"/>
    </row>
    <row r="28" spans="1:14" s="15" customFormat="1" x14ac:dyDescent="0.25">
      <c r="A28" s="12"/>
      <c r="B28" s="5" t="s">
        <v>75</v>
      </c>
      <c r="C28" s="87" t="s">
        <v>193</v>
      </c>
      <c r="D28" s="176">
        <v>63</v>
      </c>
      <c r="E28" s="15" t="s">
        <v>90</v>
      </c>
      <c r="F28" s="87" t="s">
        <v>183</v>
      </c>
      <c r="G28" s="71"/>
      <c r="N28" s="16"/>
    </row>
    <row r="29" spans="1:14" s="13" customFormat="1" x14ac:dyDescent="0.25">
      <c r="A29" s="17"/>
      <c r="B29" s="4" t="s">
        <v>129</v>
      </c>
      <c r="D29" s="177">
        <v>0.85</v>
      </c>
      <c r="F29" s="87" t="s">
        <v>208</v>
      </c>
      <c r="G29" s="72"/>
      <c r="N29" s="14"/>
    </row>
    <row r="30" spans="1:14" s="13" customFormat="1" x14ac:dyDescent="0.25">
      <c r="A30" s="17"/>
      <c r="B30" s="4" t="s">
        <v>192</v>
      </c>
      <c r="D30" s="127">
        <f>SQRT(Sn^2-Pn^2)</f>
        <v>39.043893319395458</v>
      </c>
      <c r="E30" s="87" t="s">
        <v>190</v>
      </c>
      <c r="F30" s="87" t="s">
        <v>191</v>
      </c>
      <c r="G30" s="72"/>
      <c r="N30" s="14"/>
    </row>
    <row r="31" spans="1:14" s="15" customFormat="1" x14ac:dyDescent="0.25">
      <c r="A31" s="12"/>
      <c r="B31" s="5" t="s">
        <v>67</v>
      </c>
      <c r="D31" s="127">
        <f>(Pn/cosphin)</f>
        <v>74.117647058823536</v>
      </c>
      <c r="E31" s="15" t="s">
        <v>64</v>
      </c>
      <c r="F31" s="15" t="s">
        <v>94</v>
      </c>
      <c r="G31" s="71"/>
      <c r="N31" s="16"/>
    </row>
    <row r="32" spans="1:14" s="13" customFormat="1" x14ac:dyDescent="0.25">
      <c r="A32" s="17"/>
      <c r="B32" s="4" t="s">
        <v>68</v>
      </c>
      <c r="D32" s="128">
        <f>Sn/Ubem/SQRT(3)</f>
        <v>106.97960870278361</v>
      </c>
      <c r="E32" s="13" t="s">
        <v>69</v>
      </c>
      <c r="F32" s="13" t="s">
        <v>70</v>
      </c>
      <c r="G32" s="72"/>
      <c r="N32" s="14"/>
    </row>
    <row r="33" spans="1:14" x14ac:dyDescent="0.25">
      <c r="A33" s="54"/>
      <c r="N33" s="52"/>
    </row>
    <row r="34" spans="1:14" s="13" customFormat="1" x14ac:dyDescent="0.25">
      <c r="A34" s="12"/>
      <c r="B34" s="19" t="s">
        <v>172</v>
      </c>
      <c r="D34" s="20"/>
      <c r="G34" s="72"/>
      <c r="N34" s="14"/>
    </row>
    <row r="35" spans="1:14" s="13" customFormat="1" x14ac:dyDescent="0.25">
      <c r="A35" s="12"/>
      <c r="B35" s="4" t="s">
        <v>126</v>
      </c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14"/>
    </row>
    <row r="36" spans="1:14" s="13" customFormat="1" x14ac:dyDescent="0.25">
      <c r="A36" s="62"/>
      <c r="B36" s="4" t="s">
        <v>173</v>
      </c>
      <c r="D36" s="217" t="s">
        <v>254</v>
      </c>
      <c r="E36" s="217"/>
      <c r="F36" s="87" t="s">
        <v>209</v>
      </c>
      <c r="G36" s="72"/>
      <c r="N36" s="14"/>
    </row>
    <row r="37" spans="1:14" s="13" customFormat="1" x14ac:dyDescent="0.25">
      <c r="A37" s="62"/>
      <c r="B37" s="4" t="s">
        <v>175</v>
      </c>
      <c r="D37" s="206" t="s">
        <v>176</v>
      </c>
      <c r="E37" s="90"/>
      <c r="F37" s="87"/>
      <c r="G37" s="72"/>
      <c r="N37" s="14"/>
    </row>
    <row r="38" spans="1:14" s="13" customFormat="1" x14ac:dyDescent="0.25">
      <c r="A38" s="17"/>
      <c r="B38" s="4" t="s">
        <v>95</v>
      </c>
      <c r="D38" s="132">
        <f>IF(Starthilfe="Softstarter",4.5)+IF(Starthilfe="Y/D Anlauf",4)+IF(Starthilfe="Direktanlauf",9)+IF(Starthilfe="Frequenzumrichter",1.5)+IF(Starthilfe="AFE Umrichter",1.5)+IF(Starthilfe="PV-Anlage",1)+IF(Starthilfe="kein",1)</f>
        <v>9</v>
      </c>
      <c r="F38" s="87" t="s">
        <v>268</v>
      </c>
      <c r="G38" s="72"/>
      <c r="N38" s="14"/>
    </row>
    <row r="39" spans="1:14" s="13" customFormat="1" x14ac:dyDescent="0.25">
      <c r="A39" s="17"/>
      <c r="B39" s="4" t="s">
        <v>163</v>
      </c>
      <c r="D39" s="131"/>
      <c r="F39" s="13" t="s">
        <v>164</v>
      </c>
      <c r="G39" s="72"/>
      <c r="N39" s="14"/>
    </row>
    <row r="40" spans="1:14" s="15" customFormat="1" x14ac:dyDescent="0.25">
      <c r="A40" s="12"/>
      <c r="B40" s="5" t="s">
        <v>72</v>
      </c>
      <c r="D40" s="132">
        <f>IF(Starthilfe="Softstarter",0.5)+IF(Starthilfe="Y/D Anlauf",0.5)+IF(Starthilfe="Direktanlauf",0.5)+IF(Starthilfe="Frequenzumrichter",0.95)+IF(Starthilfe="AFE Umrichter",0.98)+IF(Starthilfe="PV-Anlage",1)+IF(Starthilfe="kein",1)</f>
        <v>0.5</v>
      </c>
      <c r="F40" s="15" t="s">
        <v>169</v>
      </c>
      <c r="G40" s="71"/>
      <c r="N40" s="16"/>
    </row>
    <row r="41" spans="1:14" s="15" customFormat="1" x14ac:dyDescent="0.25">
      <c r="A41" s="12"/>
      <c r="B41" s="4" t="s">
        <v>252</v>
      </c>
      <c r="D41" s="205"/>
      <c r="F41" s="87" t="s">
        <v>253</v>
      </c>
      <c r="G41" s="71"/>
      <c r="N41" s="16"/>
    </row>
    <row r="42" spans="1:14" s="15" customFormat="1" x14ac:dyDescent="0.25">
      <c r="A42" s="12"/>
      <c r="B42" s="5" t="s">
        <v>71</v>
      </c>
      <c r="D42" s="134">
        <f>In*(IF(IaIn_ag&gt;0,IaIn_ag,IaIn))</f>
        <v>962.81647832505246</v>
      </c>
      <c r="E42" s="15" t="s">
        <v>69</v>
      </c>
      <c r="F42" s="15" t="s">
        <v>128</v>
      </c>
      <c r="G42" s="71"/>
      <c r="N42" s="16"/>
    </row>
    <row r="43" spans="1:14" s="13" customFormat="1" x14ac:dyDescent="0.25">
      <c r="A43" s="17"/>
      <c r="B43" s="4" t="s">
        <v>134</v>
      </c>
      <c r="D43" s="133">
        <f>Ia*Ubem*SQRT(3)</f>
        <v>667.05882352941182</v>
      </c>
      <c r="E43" s="13" t="s">
        <v>64</v>
      </c>
      <c r="F43" s="13" t="s">
        <v>93</v>
      </c>
      <c r="G43" s="72"/>
      <c r="N43" s="14"/>
    </row>
    <row r="44" spans="1:14" s="13" customFormat="1" x14ac:dyDescent="0.25">
      <c r="A44" s="17"/>
      <c r="B44" s="4" t="s">
        <v>77</v>
      </c>
      <c r="D44" s="134">
        <f>IF(cosphiah&gt;0,ACOS(cosphiah)/(2*PI())*360*IF(Pn&lt;0,-1,1),ACOS(cosphia)/(2*PI())*360*IF(Pn&lt;0,-1,1))</f>
        <v>60</v>
      </c>
      <c r="E44" s="87" t="s">
        <v>8</v>
      </c>
      <c r="F44" s="13" t="s">
        <v>158</v>
      </c>
      <c r="G44" s="72"/>
      <c r="N44" s="14"/>
    </row>
    <row r="45" spans="1:14" s="13" customFormat="1" x14ac:dyDescent="0.25">
      <c r="A45" s="17"/>
      <c r="B45" s="4" t="s">
        <v>81</v>
      </c>
      <c r="D45" s="175">
        <v>0.1</v>
      </c>
      <c r="E45" s="13" t="s">
        <v>83</v>
      </c>
      <c r="F45" s="87" t="s">
        <v>177</v>
      </c>
      <c r="G45" s="72"/>
      <c r="N45" s="14"/>
    </row>
    <row r="46" spans="1:14" s="15" customFormat="1" x14ac:dyDescent="0.25">
      <c r="A46" s="12"/>
      <c r="B46" s="5" t="s">
        <v>79</v>
      </c>
      <c r="D46" s="135">
        <f>rih/60</f>
        <v>1.6666666666666668E-3</v>
      </c>
      <c r="E46" s="15" t="s">
        <v>80</v>
      </c>
      <c r="F46" s="87" t="s">
        <v>185</v>
      </c>
      <c r="G46" s="71"/>
      <c r="N46" s="16"/>
    </row>
    <row r="47" spans="1:14" s="13" customFormat="1" x14ac:dyDescent="0.25">
      <c r="A47" s="17"/>
      <c r="B47" s="4" t="s">
        <v>82</v>
      </c>
      <c r="D47" s="136">
        <f>IF(rimin&lt;0.01,IF(Uv&gt;=1,0.03,0.06),IF(Uv&gt;=1,0.02,0.03))</f>
        <v>0.06</v>
      </c>
      <c r="E47" s="90"/>
      <c r="F47" s="87" t="s">
        <v>178</v>
      </c>
      <c r="G47" s="85"/>
      <c r="N47" s="14"/>
    </row>
    <row r="48" spans="1:14" s="13" customFormat="1" x14ac:dyDescent="0.25">
      <c r="A48" s="17"/>
      <c r="B48" s="4" t="s">
        <v>167</v>
      </c>
      <c r="D48" s="136">
        <f>IF(Uv&gt;=1,0.03,0.06)</f>
        <v>0.06</v>
      </c>
      <c r="E48" s="90"/>
      <c r="F48" s="87" t="s">
        <v>179</v>
      </c>
      <c r="G48" s="85"/>
      <c r="N48" s="14"/>
    </row>
    <row r="49" spans="1:14" s="13" customFormat="1" x14ac:dyDescent="0.25">
      <c r="A49" s="17"/>
      <c r="B49" s="4" t="s">
        <v>88</v>
      </c>
      <c r="D49" s="134">
        <f>IF(Starthilfe="Softstarter",6)+IF(Starthilfe="Y/D Anlauf",0)+IF(Starthilfe="Direktanlauf",0)+IF(Starthilfe="Frequenzumrichter",6)+IF(Starthilfe="AFE Umrichter",99)+IF(Starthilfe="kein",0)</f>
        <v>0</v>
      </c>
      <c r="E49" s="90"/>
      <c r="F49" s="87" t="s">
        <v>184</v>
      </c>
      <c r="G49" s="85"/>
      <c r="N49" s="14"/>
    </row>
    <row r="50" spans="1:14" s="15" customFormat="1" x14ac:dyDescent="0.25">
      <c r="A50" s="12"/>
      <c r="B50" s="5"/>
      <c r="D50" s="22"/>
      <c r="G50" s="71"/>
      <c r="N50" s="16"/>
    </row>
    <row r="51" spans="1:14" s="13" customFormat="1" ht="18.75" x14ac:dyDescent="0.3">
      <c r="A51" s="17"/>
      <c r="B51" s="2" t="s">
        <v>101</v>
      </c>
      <c r="D51" s="23"/>
      <c r="G51" s="72"/>
      <c r="N51" s="14"/>
    </row>
    <row r="52" spans="1:14" s="15" customFormat="1" x14ac:dyDescent="0.25">
      <c r="A52" s="17"/>
      <c r="B52" s="4" t="s">
        <v>96</v>
      </c>
      <c r="C52" s="24" t="s">
        <v>86</v>
      </c>
      <c r="D52" s="133">
        <f>IF(Pulse&gt;0,Delta_Sa,0)</f>
        <v>0</v>
      </c>
      <c r="E52" s="72" t="s">
        <v>64</v>
      </c>
      <c r="F52" s="15" t="s">
        <v>157</v>
      </c>
      <c r="G52" s="71"/>
      <c r="N52" s="16"/>
    </row>
    <row r="53" spans="1:14" s="15" customFormat="1" ht="15.75" thickBot="1" x14ac:dyDescent="0.3">
      <c r="A53" s="30"/>
      <c r="B53" s="153"/>
      <c r="C53" s="154"/>
      <c r="D53" s="155"/>
      <c r="E53" s="156"/>
      <c r="F53" s="31"/>
      <c r="G53" s="77"/>
      <c r="H53" s="31"/>
      <c r="I53" s="31"/>
      <c r="J53" s="31"/>
      <c r="K53" s="31"/>
      <c r="L53" s="31"/>
      <c r="M53" s="31"/>
      <c r="N53" s="32"/>
    </row>
    <row r="54" spans="1:14" s="15" customFormat="1" ht="15.75" thickBot="1" x14ac:dyDescent="0.3">
      <c r="A54" s="12"/>
      <c r="B54" s="5"/>
      <c r="D54" s="22"/>
      <c r="G54" s="71"/>
      <c r="N54" s="16"/>
    </row>
    <row r="55" spans="1:14" s="15" customFormat="1" ht="69.95" customHeight="1" thickBot="1" x14ac:dyDescent="0.3">
      <c r="A55" s="47"/>
      <c r="B55" s="9"/>
      <c r="C55" s="9"/>
      <c r="D55" s="9"/>
      <c r="E55" s="1" t="s">
        <v>198</v>
      </c>
      <c r="F55" s="9"/>
      <c r="G55" s="75"/>
      <c r="H55" s="9"/>
      <c r="I55" s="9"/>
      <c r="J55" s="9"/>
      <c r="K55" s="9"/>
      <c r="L55" s="9"/>
      <c r="M55" s="9"/>
      <c r="N55" s="10"/>
    </row>
    <row r="56" spans="1:14" s="11" customFormat="1" x14ac:dyDescent="0.25">
      <c r="A56" s="27"/>
      <c r="B56" s="28"/>
      <c r="C56" s="28"/>
      <c r="D56" s="28"/>
      <c r="E56" s="28"/>
      <c r="F56" s="28"/>
      <c r="G56" s="76"/>
      <c r="H56" s="28"/>
      <c r="I56" s="28"/>
      <c r="J56" s="28"/>
      <c r="K56" s="28"/>
      <c r="L56" s="28"/>
      <c r="M56" s="28"/>
      <c r="N56" s="29"/>
    </row>
    <row r="57" spans="1:14" s="13" customFormat="1" ht="21" x14ac:dyDescent="0.35">
      <c r="A57" s="17"/>
      <c r="B57" s="147" t="s">
        <v>174</v>
      </c>
      <c r="C57" s="15"/>
      <c r="D57" s="15"/>
      <c r="E57" s="15"/>
      <c r="F57" s="15"/>
      <c r="G57" s="71"/>
      <c r="H57" s="15"/>
      <c r="I57" s="15"/>
      <c r="J57" s="15"/>
      <c r="K57" s="15"/>
      <c r="L57" s="15"/>
      <c r="M57" s="15"/>
      <c r="N57" s="16"/>
    </row>
    <row r="58" spans="1:14" s="15" customFormat="1" x14ac:dyDescent="0.25">
      <c r="A58" s="17"/>
      <c r="B58" s="15" t="s">
        <v>73</v>
      </c>
      <c r="D58" s="134">
        <f>Delta_Sa</f>
        <v>667.05882352941182</v>
      </c>
      <c r="E58" s="15" t="s">
        <v>64</v>
      </c>
      <c r="F58" s="15" t="s">
        <v>84</v>
      </c>
      <c r="G58" s="71" t="s">
        <v>74</v>
      </c>
      <c r="N58" s="16"/>
    </row>
    <row r="59" spans="1:14" s="15" customFormat="1" ht="15.75" thickBot="1" x14ac:dyDescent="0.3">
      <c r="A59" s="17"/>
      <c r="D59" s="104"/>
      <c r="G59" s="71"/>
      <c r="N59" s="16"/>
    </row>
    <row r="60" spans="1:14" s="15" customFormat="1" x14ac:dyDescent="0.25">
      <c r="A60" s="17"/>
      <c r="B60" s="105" t="s">
        <v>133</v>
      </c>
      <c r="C60" s="106"/>
      <c r="D60" s="107"/>
      <c r="E60" s="106"/>
      <c r="F60" s="106"/>
      <c r="G60" s="108"/>
      <c r="H60" s="106"/>
      <c r="I60" s="106"/>
      <c r="J60" s="106"/>
      <c r="K60" s="106"/>
      <c r="L60" s="106"/>
      <c r="M60" s="109"/>
      <c r="N60" s="16"/>
    </row>
    <row r="61" spans="1:14" s="15" customFormat="1" ht="21" x14ac:dyDescent="0.35">
      <c r="A61" s="17"/>
      <c r="B61" s="137" t="s">
        <v>76</v>
      </c>
      <c r="C61" s="138"/>
      <c r="D61" s="145">
        <f>IF(einphasig="ja",6,1)*ABS(Delta_Sa)/1000/Skv*COS(Phinetz/360*2*PI()-PhiLast/360*2*PI())</f>
        <v>6.2683025410071756E-3</v>
      </c>
      <c r="E61" s="80" t="s">
        <v>78</v>
      </c>
      <c r="H61" s="13"/>
      <c r="J61" s="64" t="s">
        <v>89</v>
      </c>
      <c r="K61" s="183">
        <f>dmax</f>
        <v>0.06</v>
      </c>
      <c r="L61" s="13"/>
      <c r="M61" s="111"/>
      <c r="N61" s="14"/>
    </row>
    <row r="62" spans="1:14" s="15" customFormat="1" x14ac:dyDescent="0.25">
      <c r="A62" s="17"/>
      <c r="B62" s="110"/>
      <c r="D62" s="46"/>
      <c r="G62" s="80"/>
      <c r="H62" s="13"/>
      <c r="I62" s="13"/>
      <c r="J62" s="13"/>
      <c r="K62" s="13"/>
      <c r="L62" s="13"/>
      <c r="M62" s="111"/>
      <c r="N62" s="14"/>
    </row>
    <row r="63" spans="1:14" s="15" customFormat="1" x14ac:dyDescent="0.25">
      <c r="A63" s="17"/>
      <c r="B63" s="112" t="s">
        <v>222</v>
      </c>
      <c r="D63" s="46"/>
      <c r="G63" s="80"/>
      <c r="H63" s="13"/>
      <c r="I63" s="13"/>
      <c r="J63" s="13"/>
      <c r="K63" s="13"/>
      <c r="L63" s="13"/>
      <c r="M63" s="111"/>
      <c r="N63" s="14"/>
    </row>
    <row r="64" spans="1:14" s="15" customFormat="1" ht="21" x14ac:dyDescent="0.35">
      <c r="A64" s="17"/>
      <c r="B64" s="137" t="s">
        <v>82</v>
      </c>
      <c r="C64" s="138"/>
      <c r="D64" s="145">
        <f>IF(einphasig="ja",6,1)*ABS(Delta_Sa)/1000/Skv</f>
        <v>6.6705882352941165E-3</v>
      </c>
      <c r="E64" s="80" t="s">
        <v>221</v>
      </c>
      <c r="H64" s="13"/>
      <c r="J64" s="64" t="s">
        <v>89</v>
      </c>
      <c r="K64" s="183">
        <f>dmax</f>
        <v>0.06</v>
      </c>
      <c r="L64" s="13"/>
      <c r="M64" s="111"/>
      <c r="N64" s="14"/>
    </row>
    <row r="65" spans="1:14" s="37" customFormat="1" ht="16.5" thickBot="1" x14ac:dyDescent="0.3">
      <c r="A65" s="12"/>
      <c r="B65" s="113"/>
      <c r="C65" s="114"/>
      <c r="D65" s="114"/>
      <c r="E65" s="114"/>
      <c r="F65" s="114"/>
      <c r="G65" s="115"/>
      <c r="H65" s="114"/>
      <c r="I65" s="114"/>
      <c r="J65" s="114"/>
      <c r="K65" s="114"/>
      <c r="L65" s="114"/>
      <c r="M65" s="116"/>
      <c r="N65" s="14"/>
    </row>
    <row r="66" spans="1:14" s="40" customFormat="1" ht="15.75" thickBot="1" x14ac:dyDescent="0.3">
      <c r="A66" s="12"/>
      <c r="B66" s="13"/>
      <c r="C66" s="13"/>
      <c r="D66" s="13"/>
      <c r="E66" s="13"/>
      <c r="F66" s="13"/>
      <c r="G66" s="72"/>
      <c r="H66" s="13"/>
      <c r="I66" s="13"/>
      <c r="J66" s="13"/>
      <c r="K66" s="13"/>
      <c r="L66" s="13"/>
      <c r="M66" s="13"/>
      <c r="N66" s="14"/>
    </row>
    <row r="67" spans="1:14" s="40" customFormat="1" ht="19.5" thickTop="1" x14ac:dyDescent="0.3">
      <c r="A67" s="12"/>
      <c r="B67" s="117" t="s">
        <v>162</v>
      </c>
      <c r="C67" s="50"/>
      <c r="D67" s="50"/>
      <c r="E67" s="50"/>
      <c r="F67" s="50"/>
      <c r="G67" s="118"/>
      <c r="H67" s="50"/>
      <c r="I67" s="50"/>
      <c r="J67" s="50"/>
      <c r="K67" s="50"/>
      <c r="L67" s="50"/>
      <c r="M67" s="51"/>
      <c r="N67" s="14"/>
    </row>
    <row r="68" spans="1:14" s="40" customFormat="1" ht="18.75" x14ac:dyDescent="0.3">
      <c r="A68" s="12"/>
      <c r="B68" s="119" t="s">
        <v>160</v>
      </c>
      <c r="C68" s="13"/>
      <c r="D68" s="220" t="str">
        <f>IF(ABS(D61)&gt;dmax,"Grenzwertüberschreitungen bei Spannungsänderungen","Spannungsänderungen OK")</f>
        <v>Spannungsänderungen OK</v>
      </c>
      <c r="E68" s="220"/>
      <c r="F68" s="220"/>
      <c r="G68" s="220"/>
      <c r="H68" s="220"/>
      <c r="I68" s="220"/>
      <c r="J68" s="220"/>
      <c r="K68" s="220"/>
      <c r="L68" s="220"/>
      <c r="M68" s="120"/>
      <c r="N68" s="14"/>
    </row>
    <row r="69" spans="1:14" s="40" customFormat="1" ht="18.75" x14ac:dyDescent="0.3">
      <c r="A69" s="12"/>
      <c r="B69" s="119" t="s">
        <v>161</v>
      </c>
      <c r="C69" s="13"/>
      <c r="D69" s="220" t="str">
        <f>IF(ABS(D64)&gt;dmax,"Grenzwertüberschreitungen bei Spannungsänderungen","Spannungsänderungen OK")</f>
        <v>Spannungsänderungen OK</v>
      </c>
      <c r="E69" s="220"/>
      <c r="F69" s="220"/>
      <c r="G69" s="220"/>
      <c r="H69" s="220"/>
      <c r="I69" s="220"/>
      <c r="J69" s="220"/>
      <c r="K69" s="220"/>
      <c r="L69" s="220"/>
      <c r="M69" s="120"/>
      <c r="N69" s="14"/>
    </row>
    <row r="70" spans="1:14" s="40" customFormat="1" ht="19.5" thickBot="1" x14ac:dyDescent="0.35">
      <c r="A70" s="12"/>
      <c r="B70" s="121"/>
      <c r="C70" s="122"/>
      <c r="D70" s="124"/>
      <c r="E70" s="124"/>
      <c r="F70" s="124"/>
      <c r="G70" s="124"/>
      <c r="H70" s="124"/>
      <c r="I70" s="124"/>
      <c r="J70" s="124"/>
      <c r="K70" s="124"/>
      <c r="L70" s="124"/>
      <c r="M70" s="123"/>
      <c r="N70" s="14"/>
    </row>
    <row r="71" spans="1:14" s="40" customFormat="1" ht="19.5" thickTop="1" x14ac:dyDescent="0.3">
      <c r="A71" s="12"/>
      <c r="B71" s="13"/>
      <c r="C71" s="13"/>
      <c r="D71" s="146"/>
      <c r="E71" s="146"/>
      <c r="F71" s="146"/>
      <c r="G71" s="146"/>
      <c r="H71" s="146"/>
      <c r="I71" s="146"/>
      <c r="J71" s="146"/>
      <c r="K71" s="146"/>
      <c r="L71" s="146"/>
      <c r="M71" s="13"/>
      <c r="N71" s="14"/>
    </row>
    <row r="72" spans="1:14" s="13" customFormat="1" ht="21" x14ac:dyDescent="0.35">
      <c r="A72" s="17"/>
      <c r="B72" s="147" t="s">
        <v>194</v>
      </c>
      <c r="C72" s="15"/>
      <c r="D72" s="15"/>
      <c r="E72" s="15"/>
      <c r="F72" s="15"/>
      <c r="G72" s="71"/>
      <c r="H72" s="15"/>
      <c r="I72" s="15"/>
      <c r="J72" s="15"/>
      <c r="K72" s="15"/>
      <c r="L72" s="15"/>
      <c r="M72" s="15"/>
      <c r="N72" s="16"/>
    </row>
    <row r="73" spans="1:14" s="15" customFormat="1" x14ac:dyDescent="0.25">
      <c r="A73" s="17"/>
      <c r="B73" s="15" t="s">
        <v>86</v>
      </c>
      <c r="D73" s="134">
        <f>Sa</f>
        <v>55.42562584220407</v>
      </c>
      <c r="E73" s="15" t="s">
        <v>64</v>
      </c>
      <c r="G73" s="71" t="s">
        <v>168</v>
      </c>
      <c r="N73" s="16"/>
    </row>
    <row r="74" spans="1:14" s="15" customFormat="1" ht="15.75" thickBot="1" x14ac:dyDescent="0.3">
      <c r="A74" s="17"/>
      <c r="D74" s="104"/>
      <c r="G74" s="71"/>
      <c r="N74" s="16"/>
    </row>
    <row r="75" spans="1:14" s="15" customFormat="1" x14ac:dyDescent="0.25">
      <c r="A75" s="17"/>
      <c r="B75" s="105" t="s">
        <v>133</v>
      </c>
      <c r="C75" s="106"/>
      <c r="D75" s="107"/>
      <c r="E75" s="106"/>
      <c r="F75" s="106"/>
      <c r="G75" s="108"/>
      <c r="H75" s="106"/>
      <c r="I75" s="106"/>
      <c r="J75" s="106"/>
      <c r="K75" s="106"/>
      <c r="L75" s="106"/>
      <c r="M75" s="109"/>
      <c r="N75" s="16"/>
    </row>
    <row r="76" spans="1:14" s="15" customFormat="1" ht="21" x14ac:dyDescent="0.35">
      <c r="A76" s="17"/>
      <c r="B76" s="137" t="s">
        <v>76</v>
      </c>
      <c r="C76" s="138"/>
      <c r="D76" s="145">
        <f>ABS(Sa)/1000/Skv*COS(Phinetz/360*2*PI())</f>
        <v>9.624558923547859E-5</v>
      </c>
      <c r="E76" s="80" t="s">
        <v>219</v>
      </c>
      <c r="H76" s="13"/>
      <c r="I76" s="13"/>
      <c r="J76" s="64" t="s">
        <v>89</v>
      </c>
      <c r="K76" s="183">
        <f>dmax_last</f>
        <v>0.06</v>
      </c>
      <c r="L76" s="13"/>
      <c r="M76" s="111"/>
      <c r="N76" s="14"/>
    </row>
    <row r="77" spans="1:14" s="15" customFormat="1" x14ac:dyDescent="0.25">
      <c r="A77" s="17"/>
      <c r="B77" s="110"/>
      <c r="D77" s="46"/>
      <c r="G77" s="80"/>
      <c r="H77" s="13"/>
      <c r="I77" s="13"/>
      <c r="J77" s="13"/>
      <c r="K77" s="13"/>
      <c r="L77" s="13"/>
      <c r="M77" s="111"/>
      <c r="N77" s="14"/>
    </row>
    <row r="78" spans="1:14" s="15" customFormat="1" x14ac:dyDescent="0.25">
      <c r="A78" s="17"/>
      <c r="B78" s="112" t="s">
        <v>222</v>
      </c>
      <c r="D78" s="46"/>
      <c r="G78" s="80"/>
      <c r="H78" s="13"/>
      <c r="I78" s="13"/>
      <c r="J78" s="13"/>
      <c r="K78" s="13"/>
      <c r="L78" s="13"/>
      <c r="M78" s="111"/>
      <c r="N78" s="14"/>
    </row>
    <row r="79" spans="1:14" s="15" customFormat="1" ht="21" x14ac:dyDescent="0.35">
      <c r="A79" s="17"/>
      <c r="B79" s="137" t="s">
        <v>82</v>
      </c>
      <c r="C79" s="138"/>
      <c r="D79" s="145">
        <f>ABS(Sa)/1000/Skv</f>
        <v>5.5425625842204054E-4</v>
      </c>
      <c r="E79" s="80" t="s">
        <v>220</v>
      </c>
      <c r="H79" s="13"/>
      <c r="I79" s="13"/>
      <c r="J79" s="64" t="s">
        <v>89</v>
      </c>
      <c r="K79" s="183">
        <f>dmax_last</f>
        <v>0.06</v>
      </c>
      <c r="L79" s="13"/>
      <c r="M79" s="111"/>
      <c r="N79" s="14"/>
    </row>
    <row r="80" spans="1:14" s="37" customFormat="1" ht="16.5" thickBot="1" x14ac:dyDescent="0.3">
      <c r="A80" s="12"/>
      <c r="B80" s="113"/>
      <c r="C80" s="114"/>
      <c r="D80" s="114"/>
      <c r="E80" s="114"/>
      <c r="F80" s="114"/>
      <c r="G80" s="115"/>
      <c r="H80" s="114"/>
      <c r="I80" s="114"/>
      <c r="J80" s="114"/>
      <c r="K80" s="114"/>
      <c r="L80" s="114"/>
      <c r="M80" s="116"/>
      <c r="N80" s="14"/>
    </row>
    <row r="81" spans="1:14" s="40" customFormat="1" ht="15.75" thickBot="1" x14ac:dyDescent="0.3">
      <c r="A81" s="12"/>
      <c r="B81" s="13"/>
      <c r="C81" s="13"/>
      <c r="D81" s="13"/>
      <c r="E81" s="13"/>
      <c r="F81" s="13"/>
      <c r="G81" s="72"/>
      <c r="H81" s="13"/>
      <c r="I81" s="13"/>
      <c r="J81" s="13"/>
      <c r="K81" s="13"/>
      <c r="L81" s="13"/>
      <c r="M81" s="13"/>
      <c r="N81" s="14"/>
    </row>
    <row r="82" spans="1:14" s="40" customFormat="1" ht="19.5" thickTop="1" x14ac:dyDescent="0.3">
      <c r="A82" s="12"/>
      <c r="B82" s="117" t="s">
        <v>195</v>
      </c>
      <c r="C82" s="50"/>
      <c r="D82" s="50"/>
      <c r="E82" s="50"/>
      <c r="F82" s="50"/>
      <c r="G82" s="118"/>
      <c r="H82" s="50"/>
      <c r="I82" s="50"/>
      <c r="J82" s="50"/>
      <c r="K82" s="50"/>
      <c r="L82" s="50"/>
      <c r="M82" s="51"/>
      <c r="N82" s="14"/>
    </row>
    <row r="83" spans="1:14" s="40" customFormat="1" ht="18.75" x14ac:dyDescent="0.3">
      <c r="A83" s="12"/>
      <c r="B83" s="119" t="s">
        <v>160</v>
      </c>
      <c r="C83" s="13"/>
      <c r="D83" s="220" t="str">
        <f>IF(ABS(D76)&gt;dmax_last,"Grenzwertüberschreitungen bei Spannungsänderungen","Spannungsänderungen OK")</f>
        <v>Spannungsänderungen OK</v>
      </c>
      <c r="E83" s="220"/>
      <c r="F83" s="220"/>
      <c r="G83" s="220"/>
      <c r="H83" s="220"/>
      <c r="I83" s="220"/>
      <c r="J83" s="220"/>
      <c r="K83" s="220"/>
      <c r="L83" s="220"/>
      <c r="M83" s="120"/>
      <c r="N83" s="14"/>
    </row>
    <row r="84" spans="1:14" s="40" customFormat="1" ht="18.75" x14ac:dyDescent="0.3">
      <c r="A84" s="12"/>
      <c r="B84" s="119" t="s">
        <v>161</v>
      </c>
      <c r="C84" s="13"/>
      <c r="D84" s="220" t="str">
        <f>IF(ABS(D79)&gt;dmax_last,"Grenzwertüberschreitungen bei Spannungsänderungen","Spannungsänderungen OK")</f>
        <v>Spannungsänderungen OK</v>
      </c>
      <c r="E84" s="220"/>
      <c r="F84" s="220"/>
      <c r="G84" s="220"/>
      <c r="H84" s="220"/>
      <c r="I84" s="220"/>
      <c r="J84" s="220"/>
      <c r="K84" s="220"/>
      <c r="L84" s="220"/>
      <c r="M84" s="120"/>
      <c r="N84" s="14"/>
    </row>
    <row r="85" spans="1:14" s="40" customFormat="1" ht="19.5" thickBot="1" x14ac:dyDescent="0.35">
      <c r="A85" s="12"/>
      <c r="B85" s="121"/>
      <c r="C85" s="122"/>
      <c r="D85" s="124"/>
      <c r="E85" s="124"/>
      <c r="F85" s="124"/>
      <c r="G85" s="124"/>
      <c r="H85" s="124"/>
      <c r="I85" s="124"/>
      <c r="J85" s="124"/>
      <c r="K85" s="124"/>
      <c r="L85" s="124"/>
      <c r="M85" s="123"/>
      <c r="N85" s="14"/>
    </row>
    <row r="86" spans="1:14" s="40" customFormat="1" ht="16.5" thickTop="1" thickBot="1" x14ac:dyDescent="0.3">
      <c r="A86" s="12"/>
      <c r="B86" s="13"/>
      <c r="C86" s="13"/>
      <c r="D86" s="13"/>
      <c r="E86" s="13"/>
      <c r="F86" s="13"/>
      <c r="G86" s="72"/>
      <c r="H86" s="13"/>
      <c r="I86" s="13"/>
      <c r="J86" s="13"/>
      <c r="K86" s="13"/>
      <c r="L86" s="13"/>
      <c r="M86" s="13"/>
      <c r="N86" s="14"/>
    </row>
    <row r="87" spans="1:14" s="40" customFormat="1" ht="69.95" customHeight="1" thickBot="1" x14ac:dyDescent="0.3">
      <c r="A87" s="55"/>
      <c r="B87" s="56"/>
      <c r="C87" s="56"/>
      <c r="D87" s="56"/>
      <c r="E87" s="1" t="s">
        <v>235</v>
      </c>
      <c r="F87" s="9"/>
      <c r="G87" s="75"/>
      <c r="H87" s="9"/>
      <c r="I87" s="9"/>
      <c r="J87" s="9"/>
      <c r="K87" s="9"/>
      <c r="L87" s="9"/>
      <c r="M87" s="9"/>
      <c r="N87" s="10"/>
    </row>
    <row r="88" spans="1:14" s="87" customFormat="1" x14ac:dyDescent="0.25">
      <c r="A88" s="166"/>
      <c r="B88" s="167"/>
      <c r="C88" s="167"/>
      <c r="D88" s="167"/>
      <c r="E88" s="168"/>
      <c r="F88" s="167"/>
      <c r="G88" s="169"/>
      <c r="H88" s="167"/>
      <c r="I88" s="167"/>
      <c r="J88" s="167"/>
      <c r="K88" s="167"/>
      <c r="L88" s="167"/>
      <c r="M88" s="167"/>
      <c r="N88" s="170"/>
    </row>
    <row r="89" spans="1:14" s="87" customFormat="1" ht="15.75" thickBot="1" x14ac:dyDescent="0.3">
      <c r="A89" s="164"/>
      <c r="B89" s="157"/>
      <c r="C89" s="157"/>
      <c r="D89" s="157"/>
      <c r="E89" s="158"/>
      <c r="F89" s="157"/>
      <c r="G89" s="159"/>
      <c r="H89" s="157"/>
      <c r="I89" s="157"/>
      <c r="J89" s="157"/>
      <c r="K89" s="157"/>
      <c r="L89" s="157"/>
      <c r="M89" s="157"/>
      <c r="N89" s="165"/>
    </row>
    <row r="90" spans="1:14" s="87" customFormat="1" ht="30.75" customHeight="1" thickBot="1" x14ac:dyDescent="0.3">
      <c r="A90" s="164"/>
      <c r="B90" s="184" t="s">
        <v>215</v>
      </c>
      <c r="C90" s="215" t="s">
        <v>201</v>
      </c>
      <c r="D90" s="216"/>
      <c r="E90" s="215" t="s">
        <v>200</v>
      </c>
      <c r="F90" s="216"/>
      <c r="G90" s="159"/>
      <c r="H90" s="158" t="s">
        <v>218</v>
      </c>
      <c r="L90" s="186">
        <f>ikmin*1000</f>
        <v>72168.783648703233</v>
      </c>
      <c r="M90" s="157" t="s">
        <v>69</v>
      </c>
      <c r="N90" s="165"/>
    </row>
    <row r="91" spans="1:14" s="87" customFormat="1" ht="30.75" customHeight="1" thickBot="1" x14ac:dyDescent="0.3">
      <c r="A91" s="164"/>
      <c r="B91" s="184" t="s">
        <v>214</v>
      </c>
      <c r="C91" s="184" t="s">
        <v>216</v>
      </c>
      <c r="D91" s="185"/>
      <c r="E91" s="184" t="s">
        <v>217</v>
      </c>
      <c r="F91" s="181"/>
      <c r="G91" s="159"/>
      <c r="H91" s="157"/>
      <c r="I91" s="157"/>
      <c r="J91" s="157"/>
      <c r="K91" s="157"/>
      <c r="L91" s="157"/>
      <c r="M91" s="157"/>
      <c r="N91" s="165"/>
    </row>
    <row r="92" spans="1:14" s="87" customFormat="1" x14ac:dyDescent="0.25">
      <c r="A92" s="164"/>
      <c r="B92" s="160">
        <v>6</v>
      </c>
      <c r="C92" s="160"/>
      <c r="D92" s="179" t="str">
        <f t="shared" ref="D92:D110" si="0">IF(ikmin*1000&gt;C92,"OK","Nicht OK")</f>
        <v>OK</v>
      </c>
      <c r="E92" s="162">
        <v>27</v>
      </c>
      <c r="F92" s="179" t="str">
        <f t="shared" ref="F92:F110" si="1">IF(ikmin*1000&gt;E92,"OK","Nicht OK")</f>
        <v>OK</v>
      </c>
      <c r="G92" s="159"/>
      <c r="H92" s="157" t="s">
        <v>202</v>
      </c>
      <c r="I92" s="157"/>
      <c r="J92" s="157"/>
      <c r="K92" s="157"/>
      <c r="L92" s="157"/>
      <c r="M92" s="157"/>
      <c r="N92" s="165"/>
    </row>
    <row r="93" spans="1:14" s="87" customFormat="1" x14ac:dyDescent="0.25">
      <c r="A93" s="164"/>
      <c r="B93" s="160">
        <v>10</v>
      </c>
      <c r="C93" s="160">
        <v>28</v>
      </c>
      <c r="D93" s="179" t="str">
        <f t="shared" si="0"/>
        <v>OK</v>
      </c>
      <c r="E93" s="162">
        <v>46</v>
      </c>
      <c r="F93" s="179" t="str">
        <f t="shared" si="1"/>
        <v>OK</v>
      </c>
      <c r="G93" s="159"/>
      <c r="H93" s="157" t="s">
        <v>203</v>
      </c>
      <c r="I93" s="157"/>
      <c r="J93" s="157"/>
      <c r="K93" s="157"/>
      <c r="L93" s="157"/>
      <c r="M93" s="157"/>
      <c r="N93" s="165"/>
    </row>
    <row r="94" spans="1:14" s="87" customFormat="1" x14ac:dyDescent="0.25">
      <c r="A94" s="164"/>
      <c r="B94" s="160">
        <v>16</v>
      </c>
      <c r="C94" s="160">
        <v>45</v>
      </c>
      <c r="D94" s="179" t="str">
        <f t="shared" si="0"/>
        <v>OK</v>
      </c>
      <c r="E94" s="162">
        <v>70</v>
      </c>
      <c r="F94" s="179" t="str">
        <f t="shared" si="1"/>
        <v>OK</v>
      </c>
      <c r="G94" s="159"/>
      <c r="H94" s="157" t="s">
        <v>204</v>
      </c>
      <c r="I94" s="157"/>
      <c r="J94" s="157"/>
      <c r="K94" s="157"/>
      <c r="L94" s="157"/>
      <c r="M94" s="157"/>
      <c r="N94" s="165"/>
    </row>
    <row r="95" spans="1:14" s="87" customFormat="1" x14ac:dyDescent="0.25">
      <c r="A95" s="164"/>
      <c r="B95" s="160">
        <v>20</v>
      </c>
      <c r="C95" s="160">
        <v>52</v>
      </c>
      <c r="D95" s="179" t="str">
        <f t="shared" si="0"/>
        <v>OK</v>
      </c>
      <c r="E95" s="162">
        <v>90</v>
      </c>
      <c r="F95" s="179" t="str">
        <f t="shared" si="1"/>
        <v>OK</v>
      </c>
      <c r="G95" s="159"/>
      <c r="H95" s="157" t="s">
        <v>205</v>
      </c>
      <c r="I95" s="157"/>
      <c r="J95" s="157"/>
      <c r="K95" s="157"/>
      <c r="L95" s="157"/>
      <c r="M95" s="157"/>
      <c r="N95" s="165"/>
    </row>
    <row r="96" spans="1:14" s="87" customFormat="1" x14ac:dyDescent="0.25">
      <c r="A96" s="164"/>
      <c r="B96" s="160">
        <v>25</v>
      </c>
      <c r="C96" s="160">
        <v>65</v>
      </c>
      <c r="D96" s="179" t="str">
        <f t="shared" si="0"/>
        <v>OK</v>
      </c>
      <c r="E96" s="162">
        <v>115</v>
      </c>
      <c r="F96" s="179" t="str">
        <f t="shared" si="1"/>
        <v>OK</v>
      </c>
      <c r="G96" s="159"/>
      <c r="H96" s="157"/>
      <c r="I96" s="157"/>
      <c r="J96" s="157"/>
      <c r="K96" s="157"/>
      <c r="L96" s="157"/>
      <c r="M96" s="157"/>
      <c r="N96" s="165"/>
    </row>
    <row r="97" spans="1:14" s="87" customFormat="1" x14ac:dyDescent="0.25">
      <c r="A97" s="164"/>
      <c r="B97" s="160">
        <v>35</v>
      </c>
      <c r="C97" s="160">
        <v>92</v>
      </c>
      <c r="D97" s="179" t="str">
        <f t="shared" si="0"/>
        <v>OK</v>
      </c>
      <c r="E97" s="162">
        <v>190</v>
      </c>
      <c r="F97" s="179" t="str">
        <f t="shared" si="1"/>
        <v>OK</v>
      </c>
      <c r="G97" s="159"/>
      <c r="H97" s="157"/>
      <c r="I97" s="157" t="s">
        <v>223</v>
      </c>
      <c r="J97" s="157"/>
      <c r="K97" s="157"/>
      <c r="L97" s="157"/>
      <c r="M97" s="157"/>
      <c r="N97" s="165"/>
    </row>
    <row r="98" spans="1:14" s="87" customFormat="1" ht="15.75" thickBot="1" x14ac:dyDescent="0.3">
      <c r="A98" s="164"/>
      <c r="B98" s="160">
        <v>40</v>
      </c>
      <c r="C98" s="160">
        <v>110</v>
      </c>
      <c r="D98" s="179" t="str">
        <f t="shared" si="0"/>
        <v>OK</v>
      </c>
      <c r="E98" s="162">
        <v>200</v>
      </c>
      <c r="F98" s="179" t="str">
        <f t="shared" si="1"/>
        <v>OK</v>
      </c>
      <c r="G98" s="159"/>
      <c r="H98" s="200" t="s">
        <v>228</v>
      </c>
      <c r="I98" s="187"/>
      <c r="J98" s="187"/>
      <c r="K98" s="187"/>
      <c r="L98" s="187"/>
      <c r="M98" s="187"/>
      <c r="N98" s="165"/>
    </row>
    <row r="99" spans="1:14" s="87" customFormat="1" x14ac:dyDescent="0.25">
      <c r="A99" s="164"/>
      <c r="B99" s="160">
        <v>50</v>
      </c>
      <c r="C99" s="160">
        <v>125</v>
      </c>
      <c r="D99" s="179" t="str">
        <f t="shared" si="0"/>
        <v>OK</v>
      </c>
      <c r="E99" s="162">
        <v>270</v>
      </c>
      <c r="F99" s="179" t="str">
        <f t="shared" si="1"/>
        <v>OK</v>
      </c>
      <c r="G99" s="159"/>
      <c r="H99" s="190" t="s">
        <v>224</v>
      </c>
      <c r="I99" s="191"/>
      <c r="J99" s="191"/>
      <c r="K99" s="192"/>
      <c r="L99" s="193" t="s">
        <v>69</v>
      </c>
      <c r="M99" s="187"/>
      <c r="N99" s="165"/>
    </row>
    <row r="100" spans="1:14" s="87" customFormat="1" x14ac:dyDescent="0.25">
      <c r="A100" s="164"/>
      <c r="B100" s="160">
        <v>63</v>
      </c>
      <c r="C100" s="160">
        <v>190</v>
      </c>
      <c r="D100" s="179" t="str">
        <f t="shared" si="0"/>
        <v>OK</v>
      </c>
      <c r="E100" s="162">
        <v>360</v>
      </c>
      <c r="F100" s="179" t="str">
        <f t="shared" si="1"/>
        <v>OK</v>
      </c>
      <c r="G100" s="159"/>
      <c r="H100" s="194" t="s">
        <v>225</v>
      </c>
      <c r="I100" s="187"/>
      <c r="J100" s="189" t="s">
        <v>226</v>
      </c>
      <c r="K100" s="188">
        <f>K99*1.6</f>
        <v>0</v>
      </c>
      <c r="L100" s="195" t="s">
        <v>69</v>
      </c>
      <c r="M100" s="187"/>
      <c r="N100" s="165"/>
    </row>
    <row r="101" spans="1:14" s="87" customFormat="1" ht="15.75" thickBot="1" x14ac:dyDescent="0.3">
      <c r="A101" s="164"/>
      <c r="B101" s="160">
        <v>80</v>
      </c>
      <c r="C101" s="160">
        <v>260</v>
      </c>
      <c r="D101" s="179" t="str">
        <f t="shared" si="0"/>
        <v>OK</v>
      </c>
      <c r="E101" s="162">
        <v>440</v>
      </c>
      <c r="F101" s="179" t="str">
        <f t="shared" si="1"/>
        <v>OK</v>
      </c>
      <c r="G101" s="159"/>
      <c r="H101" s="196" t="s">
        <v>227</v>
      </c>
      <c r="I101" s="197"/>
      <c r="J101" s="197"/>
      <c r="K101" s="198"/>
      <c r="L101" s="199" t="s">
        <v>69</v>
      </c>
      <c r="N101" s="165"/>
    </row>
    <row r="102" spans="1:14" s="87" customFormat="1" x14ac:dyDescent="0.25">
      <c r="A102" s="164"/>
      <c r="B102" s="160">
        <v>100</v>
      </c>
      <c r="C102" s="160">
        <v>305</v>
      </c>
      <c r="D102" s="179" t="str">
        <f t="shared" si="0"/>
        <v>OK</v>
      </c>
      <c r="E102" s="162">
        <v>600</v>
      </c>
      <c r="F102" s="179" t="str">
        <f t="shared" si="1"/>
        <v>OK</v>
      </c>
      <c r="G102" s="159"/>
      <c r="I102" s="182"/>
      <c r="J102" s="182"/>
      <c r="K102" s="182"/>
      <c r="L102" s="182"/>
      <c r="M102" s="157"/>
      <c r="N102" s="165"/>
    </row>
    <row r="103" spans="1:14" s="87" customFormat="1" x14ac:dyDescent="0.25">
      <c r="A103" s="164"/>
      <c r="B103" s="160">
        <v>125</v>
      </c>
      <c r="C103" s="160">
        <v>390</v>
      </c>
      <c r="D103" s="179" t="str">
        <f t="shared" si="0"/>
        <v>OK</v>
      </c>
      <c r="E103" s="162">
        <v>750</v>
      </c>
      <c r="F103" s="179" t="str">
        <f t="shared" si="1"/>
        <v>OK</v>
      </c>
      <c r="G103" s="159"/>
      <c r="H103" s="182" t="s">
        <v>211</v>
      </c>
      <c r="I103" s="182"/>
      <c r="J103" s="182"/>
      <c r="K103" s="182"/>
      <c r="L103" s="182"/>
      <c r="M103" s="157"/>
      <c r="N103" s="165"/>
    </row>
    <row r="104" spans="1:14" s="87" customFormat="1" x14ac:dyDescent="0.25">
      <c r="A104" s="164"/>
      <c r="B104" s="160">
        <v>160</v>
      </c>
      <c r="C104" s="160">
        <v>500</v>
      </c>
      <c r="D104" s="179" t="str">
        <f t="shared" si="0"/>
        <v>OK</v>
      </c>
      <c r="E104" s="162">
        <v>980</v>
      </c>
      <c r="F104" s="179" t="str">
        <f t="shared" si="1"/>
        <v>OK</v>
      </c>
      <c r="G104" s="159"/>
      <c r="H104" s="182" t="s">
        <v>212</v>
      </c>
      <c r="I104" s="182"/>
      <c r="J104" s="182"/>
      <c r="K104" s="182"/>
      <c r="L104" s="182"/>
      <c r="M104" s="157"/>
      <c r="N104" s="165"/>
    </row>
    <row r="105" spans="1:14" s="87" customFormat="1" x14ac:dyDescent="0.25">
      <c r="A105" s="164"/>
      <c r="B105" s="160">
        <v>200</v>
      </c>
      <c r="C105" s="160">
        <v>680</v>
      </c>
      <c r="D105" s="179" t="str">
        <f t="shared" si="0"/>
        <v>OK</v>
      </c>
      <c r="E105" s="162">
        <v>1200</v>
      </c>
      <c r="F105" s="179" t="str">
        <f t="shared" si="1"/>
        <v>OK</v>
      </c>
      <c r="G105" s="159"/>
      <c r="H105" s="182" t="s">
        <v>213</v>
      </c>
      <c r="I105" s="157"/>
      <c r="J105" s="157"/>
      <c r="K105" s="157"/>
      <c r="L105" s="157"/>
      <c r="M105" s="157"/>
      <c r="N105" s="165"/>
    </row>
    <row r="106" spans="1:14" s="87" customFormat="1" x14ac:dyDescent="0.25">
      <c r="A106" s="164"/>
      <c r="B106" s="160">
        <v>250</v>
      </c>
      <c r="C106" s="160">
        <v>820</v>
      </c>
      <c r="D106" s="179" t="str">
        <f t="shared" si="0"/>
        <v>OK</v>
      </c>
      <c r="E106" s="162">
        <v>1500</v>
      </c>
      <c r="F106" s="179" t="str">
        <f t="shared" si="1"/>
        <v>OK</v>
      </c>
      <c r="G106" s="159"/>
      <c r="H106" s="157"/>
      <c r="I106" s="157"/>
      <c r="J106" s="157"/>
      <c r="K106" s="157"/>
      <c r="L106" s="157"/>
      <c r="M106" s="157"/>
      <c r="N106" s="165"/>
    </row>
    <row r="107" spans="1:14" s="87" customFormat="1" x14ac:dyDescent="0.25">
      <c r="A107" s="164"/>
      <c r="B107" s="160">
        <v>315</v>
      </c>
      <c r="C107" s="160">
        <v>1080</v>
      </c>
      <c r="D107" s="179" t="str">
        <f t="shared" si="0"/>
        <v>OK</v>
      </c>
      <c r="E107" s="162">
        <v>2100</v>
      </c>
      <c r="F107" s="179" t="str">
        <f t="shared" si="1"/>
        <v>OK</v>
      </c>
      <c r="G107" s="159"/>
      <c r="H107" s="157"/>
      <c r="I107" s="157"/>
      <c r="J107" s="157"/>
      <c r="K107" s="157"/>
      <c r="L107" s="157"/>
      <c r="M107" s="157"/>
      <c r="N107" s="165"/>
    </row>
    <row r="108" spans="1:14" s="87" customFormat="1" x14ac:dyDescent="0.25">
      <c r="A108" s="164"/>
      <c r="B108" s="160">
        <v>400</v>
      </c>
      <c r="C108" s="160">
        <v>1190</v>
      </c>
      <c r="D108" s="179" t="str">
        <f t="shared" si="0"/>
        <v>OK</v>
      </c>
      <c r="E108" s="162">
        <v>2800</v>
      </c>
      <c r="F108" s="179" t="str">
        <f t="shared" si="1"/>
        <v>OK</v>
      </c>
      <c r="G108" s="159"/>
      <c r="H108" s="157"/>
      <c r="I108" s="157"/>
      <c r="J108" s="157"/>
      <c r="K108" s="157"/>
      <c r="L108" s="157"/>
      <c r="M108" s="157"/>
      <c r="N108" s="165"/>
    </row>
    <row r="109" spans="1:14" s="87" customFormat="1" x14ac:dyDescent="0.25">
      <c r="A109" s="164"/>
      <c r="B109" s="160">
        <v>500</v>
      </c>
      <c r="C109" s="160">
        <v>1800</v>
      </c>
      <c r="D109" s="179" t="str">
        <f t="shared" si="0"/>
        <v>OK</v>
      </c>
      <c r="E109" s="162">
        <v>3600</v>
      </c>
      <c r="F109" s="179" t="str">
        <f t="shared" si="1"/>
        <v>OK</v>
      </c>
      <c r="G109" s="159"/>
      <c r="H109" s="157"/>
      <c r="I109" s="157"/>
      <c r="J109" s="157"/>
      <c r="K109" s="157"/>
      <c r="L109" s="157"/>
      <c r="M109" s="157"/>
      <c r="N109" s="165"/>
    </row>
    <row r="110" spans="1:14" s="87" customFormat="1" ht="15.75" thickBot="1" x14ac:dyDescent="0.3">
      <c r="A110" s="164"/>
      <c r="B110" s="161">
        <v>630</v>
      </c>
      <c r="C110" s="161">
        <v>2600</v>
      </c>
      <c r="D110" s="180" t="str">
        <f t="shared" si="0"/>
        <v>OK</v>
      </c>
      <c r="E110" s="163">
        <v>5100</v>
      </c>
      <c r="F110" s="180" t="str">
        <f t="shared" si="1"/>
        <v>OK</v>
      </c>
      <c r="G110" s="159"/>
      <c r="H110" s="157"/>
      <c r="I110" s="157"/>
      <c r="J110" s="157"/>
      <c r="K110" s="157"/>
      <c r="L110" s="157"/>
      <c r="M110" s="157"/>
      <c r="N110" s="165"/>
    </row>
    <row r="111" spans="1:14" s="87" customFormat="1" ht="15.75" thickBot="1" x14ac:dyDescent="0.3">
      <c r="A111" s="164"/>
      <c r="B111" s="157"/>
      <c r="C111" s="157"/>
      <c r="D111" s="157"/>
      <c r="E111" s="158"/>
      <c r="F111" s="157"/>
      <c r="G111" s="159"/>
      <c r="H111" s="157"/>
      <c r="I111" s="157"/>
      <c r="J111" s="157"/>
      <c r="K111" s="157"/>
      <c r="L111" s="157"/>
      <c r="M111" s="157"/>
      <c r="N111" s="165"/>
    </row>
    <row r="112" spans="1:14" s="15" customFormat="1" ht="69.95" customHeight="1" thickBot="1" x14ac:dyDescent="0.3">
      <c r="A112" s="25"/>
      <c r="B112" s="26"/>
      <c r="C112" s="26"/>
      <c r="D112" s="26"/>
      <c r="E112" s="1" t="s">
        <v>199</v>
      </c>
      <c r="F112" s="9"/>
      <c r="G112" s="75"/>
      <c r="H112" s="9"/>
      <c r="I112" s="9"/>
      <c r="J112" s="9"/>
      <c r="K112" s="9"/>
      <c r="L112" s="9"/>
      <c r="M112" s="9"/>
      <c r="N112" s="10"/>
    </row>
    <row r="113" spans="1:14" s="15" customFormat="1" x14ac:dyDescent="0.25">
      <c r="A113" s="27"/>
      <c r="B113" s="28"/>
      <c r="C113" s="28"/>
      <c r="D113" s="28"/>
      <c r="E113" s="28"/>
      <c r="F113" s="28"/>
      <c r="G113" s="76"/>
      <c r="H113" s="28"/>
      <c r="I113" s="28"/>
      <c r="J113" s="28"/>
      <c r="K113" s="28"/>
      <c r="L113" s="28"/>
      <c r="M113" s="28"/>
      <c r="N113" s="29"/>
    </row>
    <row r="114" spans="1:14" s="15" customFormat="1" ht="15.75" x14ac:dyDescent="0.25">
      <c r="A114" s="12"/>
      <c r="B114" s="6" t="s">
        <v>18</v>
      </c>
      <c r="G114" s="71"/>
      <c r="N114" s="16"/>
    </row>
    <row r="115" spans="1:14" s="15" customFormat="1" x14ac:dyDescent="0.25">
      <c r="A115" s="17"/>
      <c r="B115" s="4" t="s">
        <v>0</v>
      </c>
      <c r="C115" s="13"/>
      <c r="D115" s="92">
        <f>Skün</f>
        <v>100</v>
      </c>
      <c r="E115" s="13" t="s">
        <v>5</v>
      </c>
      <c r="F115" s="13"/>
      <c r="G115" s="72" t="s">
        <v>58</v>
      </c>
      <c r="H115" s="13"/>
      <c r="I115" s="13"/>
      <c r="J115" s="13"/>
      <c r="K115" s="13"/>
      <c r="L115" s="13"/>
      <c r="M115" s="13"/>
      <c r="N115" s="16"/>
    </row>
    <row r="116" spans="1:14" s="15" customFormat="1" x14ac:dyDescent="0.25">
      <c r="A116" s="17"/>
      <c r="B116" s="4" t="s">
        <v>6</v>
      </c>
      <c r="C116" s="13"/>
      <c r="D116" s="92">
        <f>Uün</f>
        <v>16</v>
      </c>
      <c r="E116" s="13" t="s">
        <v>7</v>
      </c>
      <c r="F116" s="13"/>
      <c r="G116" s="72" t="s">
        <v>12</v>
      </c>
      <c r="H116" s="13"/>
      <c r="I116" s="13"/>
      <c r="J116" s="13"/>
      <c r="K116" s="13"/>
      <c r="L116" s="13"/>
      <c r="M116" s="13"/>
      <c r="N116" s="16"/>
    </row>
    <row r="117" spans="1:14" s="15" customFormat="1" x14ac:dyDescent="0.25">
      <c r="A117" s="17"/>
      <c r="B117" s="4" t="s">
        <v>1</v>
      </c>
      <c r="C117" s="13"/>
      <c r="D117" s="92">
        <f>Winkelün</f>
        <v>80</v>
      </c>
      <c r="E117" s="13" t="s">
        <v>8</v>
      </c>
      <c r="F117" s="13"/>
      <c r="G117" s="208" t="s">
        <v>260</v>
      </c>
      <c r="H117" s="13"/>
      <c r="I117" s="13"/>
      <c r="J117" s="13"/>
      <c r="K117" s="13"/>
      <c r="L117" s="13"/>
      <c r="M117" s="13"/>
      <c r="N117" s="16"/>
    </row>
    <row r="118" spans="1:14" s="15" customFormat="1" x14ac:dyDescent="0.25">
      <c r="A118" s="17"/>
      <c r="B118" s="15" t="s">
        <v>2</v>
      </c>
      <c r="D118" s="93">
        <f>Uün*Uün/Skün</f>
        <v>2.56</v>
      </c>
      <c r="E118" s="15" t="s">
        <v>10</v>
      </c>
      <c r="F118" s="15" t="s">
        <v>13</v>
      </c>
      <c r="G118" s="71" t="s">
        <v>11</v>
      </c>
      <c r="N118" s="16"/>
    </row>
    <row r="119" spans="1:14" s="15" customFormat="1" x14ac:dyDescent="0.25">
      <c r="A119" s="17"/>
      <c r="B119" s="15" t="s">
        <v>3</v>
      </c>
      <c r="D119" s="93">
        <f>Zün*COS(Winkelün/360*2*PI())</f>
        <v>0.44453933482734187</v>
      </c>
      <c r="E119" s="15" t="s">
        <v>10</v>
      </c>
      <c r="F119" s="15" t="s">
        <v>14</v>
      </c>
      <c r="G119" s="71" t="s">
        <v>16</v>
      </c>
      <c r="N119" s="16"/>
    </row>
    <row r="120" spans="1:14" s="15" customFormat="1" x14ac:dyDescent="0.25">
      <c r="A120" s="17"/>
      <c r="B120" s="15" t="s">
        <v>4</v>
      </c>
      <c r="D120" s="93">
        <f>Zün*SIN(Winkelün/360*2*PI())</f>
        <v>2.5211078477112525</v>
      </c>
      <c r="E120" s="15" t="s">
        <v>10</v>
      </c>
      <c r="F120" s="15" t="s">
        <v>15</v>
      </c>
      <c r="G120" s="71" t="s">
        <v>17</v>
      </c>
      <c r="N120" s="16"/>
    </row>
    <row r="121" spans="1:14" s="15" customFormat="1" ht="15.75" thickBot="1" x14ac:dyDescent="0.3">
      <c r="A121" s="30"/>
      <c r="B121" s="31"/>
      <c r="C121" s="31"/>
      <c r="D121" s="31"/>
      <c r="E121" s="31"/>
      <c r="F121" s="31"/>
      <c r="G121" s="77"/>
      <c r="H121" s="31"/>
      <c r="I121" s="31"/>
      <c r="J121" s="31"/>
      <c r="K121" s="31"/>
      <c r="L121" s="31"/>
      <c r="M121" s="31"/>
      <c r="N121" s="32"/>
    </row>
    <row r="122" spans="1:14" s="15" customFormat="1" x14ac:dyDescent="0.25">
      <c r="A122" s="33"/>
      <c r="B122" s="34"/>
      <c r="C122" s="34"/>
      <c r="D122" s="34"/>
      <c r="E122" s="34"/>
      <c r="F122" s="34"/>
      <c r="G122" s="78"/>
      <c r="H122" s="34"/>
      <c r="I122" s="34"/>
      <c r="J122" s="34"/>
      <c r="K122" s="34"/>
      <c r="L122" s="34"/>
      <c r="M122" s="34"/>
      <c r="N122" s="35"/>
    </row>
    <row r="123" spans="1:14" s="15" customFormat="1" ht="15.75" x14ac:dyDescent="0.25">
      <c r="A123" s="36"/>
      <c r="B123" s="6" t="s">
        <v>63</v>
      </c>
      <c r="C123" s="37"/>
      <c r="D123" s="37"/>
      <c r="E123" s="37"/>
      <c r="F123" s="37"/>
      <c r="G123" s="79"/>
      <c r="H123" s="37"/>
      <c r="I123" s="37"/>
      <c r="J123" s="37"/>
      <c r="K123" s="37"/>
      <c r="L123" s="37"/>
      <c r="M123" s="37"/>
      <c r="N123" s="38"/>
    </row>
    <row r="124" spans="1:14" x14ac:dyDescent="0.25">
      <c r="A124" s="39"/>
      <c r="B124" s="40"/>
      <c r="C124" s="40"/>
      <c r="D124" s="91" t="str">
        <f>IF(AND(COUNT(#REF!)&gt;0,COUNT(D127:D155)&gt;0),"Falsche Trafoeingabe entweder HS/MS oder MS/NS","")</f>
        <v/>
      </c>
      <c r="E124" s="40"/>
      <c r="F124" s="65"/>
      <c r="G124" s="65"/>
      <c r="H124" s="40"/>
      <c r="I124" s="40"/>
      <c r="J124" s="40"/>
      <c r="K124" s="40"/>
      <c r="L124" s="40"/>
      <c r="M124" s="40"/>
      <c r="N124" s="41"/>
    </row>
    <row r="125" spans="1:14" s="15" customFormat="1" x14ac:dyDescent="0.25">
      <c r="A125" s="39"/>
      <c r="B125" s="4" t="s">
        <v>125</v>
      </c>
      <c r="C125" s="40"/>
      <c r="D125" s="66"/>
      <c r="E125" s="40"/>
      <c r="F125" s="40"/>
      <c r="G125" s="65"/>
      <c r="H125" s="40"/>
      <c r="I125" s="40"/>
      <c r="J125" s="40"/>
      <c r="K125" s="40"/>
      <c r="L125" s="40"/>
      <c r="M125" s="40"/>
      <c r="N125" s="41"/>
    </row>
    <row r="126" spans="1:14" s="15" customFormat="1" x14ac:dyDescent="0.25">
      <c r="A126" s="39"/>
      <c r="B126" s="40"/>
      <c r="C126" s="40"/>
      <c r="D126" s="73" t="s">
        <v>105</v>
      </c>
      <c r="E126" s="64" t="s">
        <v>108</v>
      </c>
      <c r="F126" s="64" t="s">
        <v>106</v>
      </c>
      <c r="G126" s="80" t="s">
        <v>107</v>
      </c>
      <c r="H126" s="64" t="s">
        <v>110</v>
      </c>
      <c r="I126" s="64" t="s">
        <v>109</v>
      </c>
      <c r="J126" s="64" t="s">
        <v>111</v>
      </c>
      <c r="K126" s="64" t="s">
        <v>123</v>
      </c>
      <c r="L126" s="64" t="s">
        <v>124</v>
      </c>
      <c r="M126" s="40"/>
      <c r="N126" s="41"/>
    </row>
    <row r="127" spans="1:14" s="13" customFormat="1" x14ac:dyDescent="0.25">
      <c r="A127" s="39"/>
      <c r="B127" s="4" t="s">
        <v>121</v>
      </c>
      <c r="C127" s="40"/>
      <c r="D127" s="67"/>
      <c r="E127" s="69"/>
      <c r="F127" s="63"/>
      <c r="G127" s="65"/>
      <c r="H127" s="94"/>
      <c r="I127" s="100"/>
      <c r="J127" s="94"/>
      <c r="K127" s="101"/>
      <c r="L127" s="101"/>
      <c r="M127" s="40"/>
      <c r="N127" s="41"/>
    </row>
    <row r="128" spans="1:14" s="13" customFormat="1" x14ac:dyDescent="0.25">
      <c r="A128" s="39"/>
      <c r="B128" s="40" t="s">
        <v>112</v>
      </c>
      <c r="C128" s="40"/>
      <c r="D128" s="67"/>
      <c r="E128" s="69">
        <v>0.1</v>
      </c>
      <c r="F128" s="63">
        <v>4</v>
      </c>
      <c r="G128" s="65">
        <v>1.5</v>
      </c>
      <c r="H128" s="94">
        <f t="shared" ref="H128:H148" si="2">IF(nt&gt;0,Urt*Urt/Srt*ur/100/nt,0)</f>
        <v>0</v>
      </c>
      <c r="I128" s="100">
        <f t="shared" ref="I128:I148" si="3">SQRT(uk*uk-ur*ur)</f>
        <v>3.7080992435478315</v>
      </c>
      <c r="J128" s="94">
        <f t="shared" ref="J128:J148" si="4">IF(nt&gt;0,Urt*Urt/Srt*ux/100/nt,0)</f>
        <v>0</v>
      </c>
      <c r="K128" s="101">
        <f t="shared" ref="K128:K154" si="5">IF(nt&gt;=1,1/Rtt,0)</f>
        <v>0</v>
      </c>
      <c r="L128" s="101">
        <f t="shared" ref="L128:L154" si="6">IF(nt&gt;=1,1/Xtt,0)</f>
        <v>0</v>
      </c>
      <c r="M128" s="40"/>
      <c r="N128" s="41"/>
    </row>
    <row r="129" spans="1:14" s="13" customFormat="1" x14ac:dyDescent="0.25">
      <c r="A129" s="39"/>
      <c r="B129" s="40" t="s">
        <v>113</v>
      </c>
      <c r="C129" s="40"/>
      <c r="D129" s="67"/>
      <c r="E129" s="69">
        <v>0.125</v>
      </c>
      <c r="F129" s="63">
        <v>4</v>
      </c>
      <c r="G129" s="65">
        <v>1.5</v>
      </c>
      <c r="H129" s="94">
        <f t="shared" si="2"/>
        <v>0</v>
      </c>
      <c r="I129" s="100">
        <f t="shared" si="3"/>
        <v>3.7080992435478315</v>
      </c>
      <c r="J129" s="94">
        <f t="shared" si="4"/>
        <v>0</v>
      </c>
      <c r="K129" s="101">
        <f t="shared" si="5"/>
        <v>0</v>
      </c>
      <c r="L129" s="101">
        <f t="shared" si="6"/>
        <v>0</v>
      </c>
      <c r="M129" s="40"/>
      <c r="N129" s="41"/>
    </row>
    <row r="130" spans="1:14" s="13" customFormat="1" x14ac:dyDescent="0.25">
      <c r="A130" s="39"/>
      <c r="B130" s="40" t="s">
        <v>114</v>
      </c>
      <c r="C130" s="40"/>
      <c r="D130" s="67"/>
      <c r="E130" s="69">
        <v>0.16</v>
      </c>
      <c r="F130" s="63">
        <v>4</v>
      </c>
      <c r="G130" s="65">
        <v>1.5</v>
      </c>
      <c r="H130" s="94">
        <f t="shared" si="2"/>
        <v>0</v>
      </c>
      <c r="I130" s="100">
        <f t="shared" si="3"/>
        <v>3.7080992435478315</v>
      </c>
      <c r="J130" s="94">
        <f t="shared" si="4"/>
        <v>0</v>
      </c>
      <c r="K130" s="101">
        <f t="shared" si="5"/>
        <v>0</v>
      </c>
      <c r="L130" s="101">
        <f t="shared" si="6"/>
        <v>0</v>
      </c>
      <c r="M130" s="40"/>
      <c r="N130" s="41"/>
    </row>
    <row r="131" spans="1:14" s="13" customFormat="1" x14ac:dyDescent="0.25">
      <c r="A131" s="39"/>
      <c r="B131" s="40" t="s">
        <v>115</v>
      </c>
      <c r="C131" s="40"/>
      <c r="D131" s="67"/>
      <c r="E131" s="69">
        <v>0.2</v>
      </c>
      <c r="F131" s="63">
        <v>4</v>
      </c>
      <c r="G131" s="65">
        <v>1.5</v>
      </c>
      <c r="H131" s="94">
        <f t="shared" si="2"/>
        <v>0</v>
      </c>
      <c r="I131" s="100">
        <f t="shared" si="3"/>
        <v>3.7080992435478315</v>
      </c>
      <c r="J131" s="94">
        <f t="shared" si="4"/>
        <v>0</v>
      </c>
      <c r="K131" s="101">
        <f t="shared" si="5"/>
        <v>0</v>
      </c>
      <c r="L131" s="101">
        <f t="shared" si="6"/>
        <v>0</v>
      </c>
      <c r="M131" s="40"/>
      <c r="N131" s="41"/>
    </row>
    <row r="132" spans="1:14" s="13" customFormat="1" x14ac:dyDescent="0.25">
      <c r="A132" s="39"/>
      <c r="B132" s="40" t="s">
        <v>116</v>
      </c>
      <c r="C132" s="40"/>
      <c r="D132" s="67"/>
      <c r="E132" s="69">
        <v>0.25</v>
      </c>
      <c r="F132" s="63">
        <v>4</v>
      </c>
      <c r="G132" s="65">
        <v>1.5</v>
      </c>
      <c r="H132" s="94">
        <f t="shared" si="2"/>
        <v>0</v>
      </c>
      <c r="I132" s="100">
        <f t="shared" si="3"/>
        <v>3.7080992435478315</v>
      </c>
      <c r="J132" s="94">
        <f t="shared" si="4"/>
        <v>0</v>
      </c>
      <c r="K132" s="101">
        <f t="shared" si="5"/>
        <v>0</v>
      </c>
      <c r="L132" s="101">
        <f t="shared" si="6"/>
        <v>0</v>
      </c>
      <c r="M132" s="40"/>
      <c r="N132" s="41"/>
    </row>
    <row r="133" spans="1:14" s="13" customFormat="1" x14ac:dyDescent="0.25">
      <c r="A133" s="39"/>
      <c r="B133" s="40" t="s">
        <v>117</v>
      </c>
      <c r="C133" s="40"/>
      <c r="D133" s="67"/>
      <c r="E133" s="69">
        <v>0.315</v>
      </c>
      <c r="F133" s="63">
        <v>4</v>
      </c>
      <c r="G133" s="65">
        <v>1.5</v>
      </c>
      <c r="H133" s="94">
        <f t="shared" si="2"/>
        <v>0</v>
      </c>
      <c r="I133" s="100">
        <f t="shared" si="3"/>
        <v>3.7080992435478315</v>
      </c>
      <c r="J133" s="94">
        <f t="shared" si="4"/>
        <v>0</v>
      </c>
      <c r="K133" s="101">
        <f t="shared" si="5"/>
        <v>0</v>
      </c>
      <c r="L133" s="101">
        <f t="shared" si="6"/>
        <v>0</v>
      </c>
      <c r="M133" s="40"/>
      <c r="N133" s="41"/>
    </row>
    <row r="134" spans="1:14" s="13" customFormat="1" x14ac:dyDescent="0.25">
      <c r="A134" s="39"/>
      <c r="B134" s="40" t="s">
        <v>118</v>
      </c>
      <c r="C134" s="40"/>
      <c r="D134" s="67"/>
      <c r="E134" s="69">
        <v>0.4</v>
      </c>
      <c r="F134" s="63">
        <v>3.98</v>
      </c>
      <c r="G134" s="65">
        <v>1.5</v>
      </c>
      <c r="H134" s="94">
        <f t="shared" si="2"/>
        <v>0</v>
      </c>
      <c r="I134" s="100">
        <f t="shared" si="3"/>
        <v>3.6865159703980668</v>
      </c>
      <c r="J134" s="94">
        <f t="shared" si="4"/>
        <v>0</v>
      </c>
      <c r="K134" s="101">
        <f t="shared" si="5"/>
        <v>0</v>
      </c>
      <c r="L134" s="101">
        <f t="shared" si="6"/>
        <v>0</v>
      </c>
      <c r="M134" s="40"/>
      <c r="N134" s="41"/>
    </row>
    <row r="135" spans="1:14" s="13" customFormat="1" x14ac:dyDescent="0.25">
      <c r="A135" s="39"/>
      <c r="B135" s="40" t="s">
        <v>119</v>
      </c>
      <c r="C135" s="40"/>
      <c r="D135" s="67"/>
      <c r="E135" s="69">
        <v>0.5</v>
      </c>
      <c r="F135" s="63">
        <v>4</v>
      </c>
      <c r="G135" s="65">
        <v>1.2</v>
      </c>
      <c r="H135" s="94">
        <f t="shared" si="2"/>
        <v>0</v>
      </c>
      <c r="I135" s="100">
        <f t="shared" si="3"/>
        <v>3.8157568056677826</v>
      </c>
      <c r="J135" s="94">
        <f t="shared" si="4"/>
        <v>0</v>
      </c>
      <c r="K135" s="101">
        <f t="shared" si="5"/>
        <v>0</v>
      </c>
      <c r="L135" s="101">
        <f t="shared" si="6"/>
        <v>0</v>
      </c>
      <c r="M135" s="40"/>
      <c r="N135" s="41"/>
    </row>
    <row r="136" spans="1:14" s="13" customFormat="1" x14ac:dyDescent="0.25">
      <c r="A136" s="39"/>
      <c r="B136" s="40" t="s">
        <v>120</v>
      </c>
      <c r="C136" s="40"/>
      <c r="D136" s="67"/>
      <c r="E136" s="69">
        <v>0.63</v>
      </c>
      <c r="F136" s="63">
        <v>4.8</v>
      </c>
      <c r="G136" s="65">
        <v>1.2</v>
      </c>
      <c r="H136" s="94">
        <f t="shared" si="2"/>
        <v>0</v>
      </c>
      <c r="I136" s="100">
        <f t="shared" si="3"/>
        <v>4.6475800154489004</v>
      </c>
      <c r="J136" s="94">
        <f t="shared" si="4"/>
        <v>0</v>
      </c>
      <c r="K136" s="101">
        <f t="shared" si="5"/>
        <v>0</v>
      </c>
      <c r="L136" s="101">
        <f t="shared" si="6"/>
        <v>0</v>
      </c>
      <c r="M136" s="40"/>
      <c r="N136" s="41"/>
    </row>
    <row r="137" spans="1:14" s="13" customFormat="1" x14ac:dyDescent="0.25">
      <c r="A137" s="39"/>
      <c r="B137" s="40"/>
      <c r="C137" s="40"/>
      <c r="D137" s="67"/>
      <c r="E137" s="69"/>
      <c r="F137" s="63"/>
      <c r="G137" s="65"/>
      <c r="H137" s="94"/>
      <c r="I137" s="100"/>
      <c r="J137" s="94"/>
      <c r="K137" s="101"/>
      <c r="L137" s="101"/>
      <c r="M137" s="40"/>
      <c r="N137" s="41"/>
    </row>
    <row r="138" spans="1:14" s="13" customFormat="1" x14ac:dyDescent="0.25">
      <c r="A138" s="39"/>
      <c r="B138" s="4" t="s">
        <v>246</v>
      </c>
      <c r="C138" s="40"/>
      <c r="D138" s="67"/>
      <c r="E138" s="69"/>
      <c r="F138" s="63"/>
      <c r="G138" s="65"/>
      <c r="H138" s="94"/>
      <c r="I138" s="100"/>
      <c r="J138" s="94"/>
      <c r="K138" s="101"/>
      <c r="L138" s="101"/>
      <c r="M138" s="40"/>
      <c r="N138" s="41"/>
    </row>
    <row r="139" spans="1:14" s="13" customFormat="1" x14ac:dyDescent="0.25">
      <c r="A139" s="39"/>
      <c r="B139" s="87" t="s">
        <v>236</v>
      </c>
      <c r="C139" s="40"/>
      <c r="D139" s="67"/>
      <c r="E139" s="69">
        <v>0.1</v>
      </c>
      <c r="F139" s="63">
        <v>4</v>
      </c>
      <c r="G139" s="202">
        <f>1480/1000/1000*100/(E139)</f>
        <v>1.4799999999999998</v>
      </c>
      <c r="H139" s="94">
        <f t="shared" si="2"/>
        <v>0</v>
      </c>
      <c r="I139" s="100">
        <f t="shared" si="3"/>
        <v>3.7161270161284854</v>
      </c>
      <c r="J139" s="94">
        <f t="shared" si="4"/>
        <v>0</v>
      </c>
      <c r="K139" s="101">
        <f t="shared" si="5"/>
        <v>0</v>
      </c>
      <c r="L139" s="101">
        <f t="shared" si="6"/>
        <v>0</v>
      </c>
      <c r="M139" s="40"/>
      <c r="N139" s="41"/>
    </row>
    <row r="140" spans="1:14" s="13" customFormat="1" x14ac:dyDescent="0.25">
      <c r="A140" s="39"/>
      <c r="B140" s="87" t="s">
        <v>237</v>
      </c>
      <c r="C140" s="40"/>
      <c r="D140" s="67"/>
      <c r="E140" s="69">
        <v>0.16</v>
      </c>
      <c r="F140" s="63">
        <v>4</v>
      </c>
      <c r="G140" s="202">
        <f>1800/1000/1000*100/(E140)</f>
        <v>1.125</v>
      </c>
      <c r="H140" s="94">
        <f t="shared" si="2"/>
        <v>0</v>
      </c>
      <c r="I140" s="100">
        <f t="shared" si="3"/>
        <v>3.838538133196022</v>
      </c>
      <c r="J140" s="94">
        <f t="shared" si="4"/>
        <v>0</v>
      </c>
      <c r="K140" s="101">
        <f t="shared" si="5"/>
        <v>0</v>
      </c>
      <c r="L140" s="101">
        <f t="shared" si="6"/>
        <v>0</v>
      </c>
      <c r="M140" s="40"/>
      <c r="N140" s="41"/>
    </row>
    <row r="141" spans="1:14" s="13" customFormat="1" x14ac:dyDescent="0.25">
      <c r="A141" s="39"/>
      <c r="B141" s="87" t="s">
        <v>238</v>
      </c>
      <c r="C141" s="40"/>
      <c r="D141" s="67"/>
      <c r="E141" s="69">
        <v>0.25</v>
      </c>
      <c r="F141" s="63">
        <v>4.2</v>
      </c>
      <c r="G141" s="202">
        <f>2350/1000/1000*100/(E141)</f>
        <v>0.94000000000000006</v>
      </c>
      <c r="H141" s="94">
        <f t="shared" si="2"/>
        <v>0</v>
      </c>
      <c r="I141" s="100">
        <f t="shared" si="3"/>
        <v>4.0934581957069014</v>
      </c>
      <c r="J141" s="94">
        <f t="shared" si="4"/>
        <v>0</v>
      </c>
      <c r="K141" s="101">
        <f t="shared" si="5"/>
        <v>0</v>
      </c>
      <c r="L141" s="101">
        <f t="shared" si="6"/>
        <v>0</v>
      </c>
      <c r="M141" s="40"/>
      <c r="N141" s="41"/>
    </row>
    <row r="142" spans="1:14" s="13" customFormat="1" x14ac:dyDescent="0.25">
      <c r="A142" s="39"/>
      <c r="B142" s="87" t="s">
        <v>239</v>
      </c>
      <c r="C142" s="40"/>
      <c r="D142" s="67"/>
      <c r="E142" s="69">
        <v>0.4</v>
      </c>
      <c r="F142" s="63">
        <v>4.4000000000000004</v>
      </c>
      <c r="G142" s="202">
        <f>3060/1000/1000*100/(E142)</f>
        <v>0.76500000000000012</v>
      </c>
      <c r="H142" s="94">
        <f t="shared" si="2"/>
        <v>0</v>
      </c>
      <c r="I142" s="100">
        <f t="shared" si="3"/>
        <v>4.3329868451219653</v>
      </c>
      <c r="J142" s="94">
        <f t="shared" si="4"/>
        <v>0</v>
      </c>
      <c r="K142" s="101">
        <f t="shared" si="5"/>
        <v>0</v>
      </c>
      <c r="L142" s="101">
        <f t="shared" si="6"/>
        <v>0</v>
      </c>
      <c r="M142" s="40"/>
      <c r="N142" s="41"/>
    </row>
    <row r="143" spans="1:14" s="13" customFormat="1" x14ac:dyDescent="0.25">
      <c r="A143" s="39"/>
      <c r="B143" s="87" t="s">
        <v>240</v>
      </c>
      <c r="C143" s="40"/>
      <c r="D143" s="67"/>
      <c r="E143" s="69">
        <v>0.63</v>
      </c>
      <c r="F143" s="63">
        <v>4.5999999999999996</v>
      </c>
      <c r="G143" s="202">
        <f>4180/1000/1000*100/(E143)</f>
        <v>0.66349206349206347</v>
      </c>
      <c r="H143" s="94">
        <f t="shared" si="2"/>
        <v>0</v>
      </c>
      <c r="I143" s="100">
        <f t="shared" si="3"/>
        <v>4.5518983162723483</v>
      </c>
      <c r="J143" s="94">
        <f t="shared" si="4"/>
        <v>0</v>
      </c>
      <c r="K143" s="101">
        <f t="shared" si="5"/>
        <v>0</v>
      </c>
      <c r="L143" s="101">
        <f t="shared" si="6"/>
        <v>0</v>
      </c>
      <c r="M143" s="40"/>
      <c r="N143" s="41"/>
    </row>
    <row r="144" spans="1:14" s="13" customFormat="1" x14ac:dyDescent="0.25">
      <c r="A144" s="39"/>
      <c r="B144" s="87" t="s">
        <v>241</v>
      </c>
      <c r="C144" s="40"/>
      <c r="D144" s="67"/>
      <c r="E144" s="69">
        <v>0.8</v>
      </c>
      <c r="F144" s="63">
        <v>5</v>
      </c>
      <c r="G144" s="202">
        <f>6500/1000/1000*100/(E144)</f>
        <v>0.8125</v>
      </c>
      <c r="H144" s="94">
        <f t="shared" si="2"/>
        <v>0</v>
      </c>
      <c r="I144" s="100">
        <f t="shared" si="3"/>
        <v>4.9335427179664713</v>
      </c>
      <c r="J144" s="94">
        <f t="shared" si="4"/>
        <v>0</v>
      </c>
      <c r="K144" s="101">
        <f t="shared" si="5"/>
        <v>0</v>
      </c>
      <c r="L144" s="101">
        <f t="shared" si="6"/>
        <v>0</v>
      </c>
      <c r="M144" s="40"/>
      <c r="N144" s="41"/>
    </row>
    <row r="145" spans="1:14" s="13" customFormat="1" x14ac:dyDescent="0.25">
      <c r="A145" s="39"/>
      <c r="B145" s="87" t="s">
        <v>242</v>
      </c>
      <c r="C145" s="40"/>
      <c r="D145" s="67"/>
      <c r="E145" s="69">
        <v>1.25</v>
      </c>
      <c r="F145" s="63">
        <v>5</v>
      </c>
      <c r="G145" s="202">
        <f>8400/1000/1000*100/(E145)</f>
        <v>0.67200000000000004</v>
      </c>
      <c r="H145" s="94">
        <f t="shared" si="2"/>
        <v>0</v>
      </c>
      <c r="I145" s="100">
        <f t="shared" si="3"/>
        <v>4.9546358090176517</v>
      </c>
      <c r="J145" s="94">
        <f t="shared" si="4"/>
        <v>0</v>
      </c>
      <c r="K145" s="101">
        <f t="shared" si="5"/>
        <v>0</v>
      </c>
      <c r="L145" s="101">
        <f t="shared" si="6"/>
        <v>0</v>
      </c>
      <c r="M145" s="40"/>
      <c r="N145" s="41"/>
    </row>
    <row r="146" spans="1:14" s="13" customFormat="1" x14ac:dyDescent="0.25">
      <c r="A146" s="39"/>
      <c r="B146" s="87" t="s">
        <v>243</v>
      </c>
      <c r="C146" s="40"/>
      <c r="D146" s="67"/>
      <c r="E146" s="69">
        <v>1.6</v>
      </c>
      <c r="F146" s="63">
        <v>6</v>
      </c>
      <c r="G146" s="202">
        <f>11700/1000/1000*100/(E146)</f>
        <v>0.73124999999999996</v>
      </c>
      <c r="H146" s="94">
        <f t="shared" si="2"/>
        <v>0</v>
      </c>
      <c r="I146" s="100">
        <f t="shared" si="3"/>
        <v>5.955272742494671</v>
      </c>
      <c r="J146" s="94">
        <f t="shared" si="4"/>
        <v>0</v>
      </c>
      <c r="K146" s="101">
        <f t="shared" si="5"/>
        <v>0</v>
      </c>
      <c r="L146" s="101">
        <f t="shared" si="6"/>
        <v>0</v>
      </c>
      <c r="M146" s="40"/>
      <c r="N146" s="41"/>
    </row>
    <row r="147" spans="1:14" s="13" customFormat="1" x14ac:dyDescent="0.25">
      <c r="A147" s="39"/>
      <c r="B147" s="87" t="s">
        <v>244</v>
      </c>
      <c r="C147" s="40"/>
      <c r="D147" s="67"/>
      <c r="E147" s="69">
        <v>2</v>
      </c>
      <c r="F147" s="63">
        <v>6</v>
      </c>
      <c r="G147" s="202">
        <f>17500/1000/1000*100/(E147)</f>
        <v>0.87500000000000011</v>
      </c>
      <c r="H147" s="94">
        <f t="shared" si="2"/>
        <v>0</v>
      </c>
      <c r="I147" s="100">
        <f t="shared" si="3"/>
        <v>5.9358550352918833</v>
      </c>
      <c r="J147" s="94">
        <f t="shared" si="4"/>
        <v>0</v>
      </c>
      <c r="K147" s="101">
        <f t="shared" si="5"/>
        <v>0</v>
      </c>
      <c r="L147" s="101">
        <f t="shared" si="6"/>
        <v>0</v>
      </c>
      <c r="M147" s="40"/>
      <c r="N147" s="41"/>
    </row>
    <row r="148" spans="1:14" s="13" customFormat="1" x14ac:dyDescent="0.25">
      <c r="A148" s="39"/>
      <c r="B148" s="87" t="s">
        <v>245</v>
      </c>
      <c r="C148" s="40"/>
      <c r="D148" s="67"/>
      <c r="E148" s="69">
        <v>2.5</v>
      </c>
      <c r="F148" s="63">
        <v>6</v>
      </c>
      <c r="G148" s="202">
        <f>21000/1000/1000*100/(E148)</f>
        <v>0.84000000000000008</v>
      </c>
      <c r="H148" s="94">
        <f t="shared" si="2"/>
        <v>0</v>
      </c>
      <c r="I148" s="100">
        <f t="shared" si="3"/>
        <v>5.9409090213535505</v>
      </c>
      <c r="J148" s="94">
        <f t="shared" si="4"/>
        <v>0</v>
      </c>
      <c r="K148" s="101">
        <f t="shared" si="5"/>
        <v>0</v>
      </c>
      <c r="L148" s="101">
        <f t="shared" si="6"/>
        <v>0</v>
      </c>
      <c r="M148" s="40"/>
      <c r="N148" s="41"/>
    </row>
    <row r="149" spans="1:14" s="13" customFormat="1" x14ac:dyDescent="0.25">
      <c r="A149" s="39"/>
      <c r="B149" s="40"/>
      <c r="C149" s="40"/>
      <c r="D149" s="67"/>
      <c r="E149" s="69"/>
      <c r="F149" s="63"/>
      <c r="G149" s="65"/>
      <c r="H149" s="94"/>
      <c r="I149" s="100"/>
      <c r="J149" s="94"/>
      <c r="K149" s="101"/>
      <c r="L149" s="101"/>
      <c r="M149" s="40"/>
      <c r="N149" s="41"/>
    </row>
    <row r="150" spans="1:14" s="13" customFormat="1" x14ac:dyDescent="0.25">
      <c r="A150" s="39"/>
      <c r="B150" s="4" t="s">
        <v>122</v>
      </c>
      <c r="C150" s="40"/>
      <c r="D150" s="67"/>
      <c r="E150" s="69"/>
      <c r="F150" s="40"/>
      <c r="G150" s="65"/>
      <c r="H150" s="94">
        <f t="shared" ref="H150:H154" si="7">IF(nt&gt;0,Urt*Urt/Srt*ur/100/nt,0)</f>
        <v>0</v>
      </c>
      <c r="I150" s="100">
        <f t="shared" ref="I150:I154" si="8">SQRT(uk*uk-ur*ur)</f>
        <v>0</v>
      </c>
      <c r="J150" s="94">
        <f t="shared" ref="J150:J154" si="9">IF(nt&gt;0,Urt*Urt/Srt*ux/100/nt,0)</f>
        <v>0</v>
      </c>
      <c r="K150" s="101">
        <f t="shared" si="5"/>
        <v>0</v>
      </c>
      <c r="L150" s="101">
        <f t="shared" si="6"/>
        <v>0</v>
      </c>
      <c r="M150" s="40"/>
      <c r="N150" s="41"/>
    </row>
    <row r="151" spans="1:14" s="13" customFormat="1" x14ac:dyDescent="0.25">
      <c r="A151" s="39"/>
      <c r="B151" s="40" t="s">
        <v>102</v>
      </c>
      <c r="C151" s="40"/>
      <c r="D151" s="67"/>
      <c r="E151" s="69">
        <v>1</v>
      </c>
      <c r="F151" s="86">
        <v>5</v>
      </c>
      <c r="G151" s="65">
        <v>1.05</v>
      </c>
      <c r="H151" s="94">
        <f t="shared" si="7"/>
        <v>0</v>
      </c>
      <c r="I151" s="100">
        <f t="shared" si="8"/>
        <v>4.8885069295235741</v>
      </c>
      <c r="J151" s="94">
        <f t="shared" si="9"/>
        <v>0</v>
      </c>
      <c r="K151" s="101">
        <f t="shared" si="5"/>
        <v>0</v>
      </c>
      <c r="L151" s="101">
        <f t="shared" si="6"/>
        <v>0</v>
      </c>
      <c r="M151" s="40"/>
      <c r="N151" s="41"/>
    </row>
    <row r="152" spans="1:14" s="3" customFormat="1" ht="18.75" x14ac:dyDescent="0.3">
      <c r="A152" s="39"/>
      <c r="B152" s="40" t="s">
        <v>135</v>
      </c>
      <c r="C152" s="40"/>
      <c r="D152" s="67"/>
      <c r="E152" s="69">
        <v>1.25</v>
      </c>
      <c r="F152" s="86">
        <v>6</v>
      </c>
      <c r="G152" s="65">
        <v>1.06</v>
      </c>
      <c r="H152" s="94">
        <f t="shared" si="7"/>
        <v>0</v>
      </c>
      <c r="I152" s="100">
        <f t="shared" si="8"/>
        <v>5.9056244377711655</v>
      </c>
      <c r="J152" s="94">
        <f t="shared" si="9"/>
        <v>0</v>
      </c>
      <c r="K152" s="101">
        <f t="shared" si="5"/>
        <v>0</v>
      </c>
      <c r="L152" s="101">
        <f t="shared" si="6"/>
        <v>0</v>
      </c>
      <c r="M152" s="40"/>
      <c r="N152" s="41"/>
    </row>
    <row r="153" spans="1:14" s="97" customFormat="1" x14ac:dyDescent="0.25">
      <c r="A153" s="39"/>
      <c r="B153" s="40" t="s">
        <v>103</v>
      </c>
      <c r="C153" s="40"/>
      <c r="D153" s="67"/>
      <c r="E153" s="69">
        <v>1.6</v>
      </c>
      <c r="F153" s="63">
        <v>6</v>
      </c>
      <c r="G153" s="65">
        <v>1.06</v>
      </c>
      <c r="H153" s="94">
        <f t="shared" si="7"/>
        <v>0</v>
      </c>
      <c r="I153" s="100">
        <f t="shared" si="8"/>
        <v>5.9056244377711655</v>
      </c>
      <c r="J153" s="94">
        <f t="shared" si="9"/>
        <v>0</v>
      </c>
      <c r="K153" s="101">
        <f t="shared" si="5"/>
        <v>0</v>
      </c>
      <c r="L153" s="101">
        <f t="shared" si="6"/>
        <v>0</v>
      </c>
      <c r="M153" s="40"/>
      <c r="N153" s="41"/>
    </row>
    <row r="154" spans="1:14" s="87" customFormat="1" x14ac:dyDescent="0.25">
      <c r="A154" s="39"/>
      <c r="B154" s="40" t="s">
        <v>104</v>
      </c>
      <c r="C154" s="40"/>
      <c r="D154" s="67"/>
      <c r="E154" s="69">
        <v>2.5</v>
      </c>
      <c r="F154" s="63">
        <v>6</v>
      </c>
      <c r="G154" s="65">
        <v>1.06</v>
      </c>
      <c r="H154" s="94">
        <f t="shared" si="7"/>
        <v>0</v>
      </c>
      <c r="I154" s="100">
        <f t="shared" si="8"/>
        <v>5.9056244377711655</v>
      </c>
      <c r="J154" s="94">
        <f t="shared" si="9"/>
        <v>0</v>
      </c>
      <c r="K154" s="101">
        <f t="shared" si="5"/>
        <v>0</v>
      </c>
      <c r="L154" s="101">
        <f t="shared" si="6"/>
        <v>0</v>
      </c>
      <c r="M154" s="40"/>
      <c r="N154" s="41"/>
    </row>
    <row r="155" spans="1:14" s="87" customFormat="1" x14ac:dyDescent="0.25">
      <c r="A155" s="39"/>
      <c r="B155" s="40"/>
      <c r="C155" s="40"/>
      <c r="D155" s="67"/>
      <c r="E155" s="69"/>
      <c r="F155" s="63"/>
      <c r="G155" s="65"/>
      <c r="H155" s="94"/>
      <c r="I155" s="100"/>
      <c r="J155" s="94"/>
      <c r="K155" s="101"/>
      <c r="L155" s="101"/>
      <c r="M155" s="40"/>
      <c r="N155" s="41"/>
    </row>
    <row r="156" spans="1:14" s="13" customFormat="1" x14ac:dyDescent="0.25">
      <c r="A156" s="39"/>
      <c r="B156" s="40"/>
      <c r="C156" s="40"/>
      <c r="D156" s="70"/>
      <c r="E156" s="69"/>
      <c r="F156" s="63"/>
      <c r="G156" s="65"/>
      <c r="H156" s="68"/>
      <c r="I156" s="102"/>
      <c r="J156" s="68"/>
      <c r="K156" s="40"/>
      <c r="L156" s="40"/>
      <c r="M156" s="40"/>
      <c r="N156" s="41"/>
    </row>
    <row r="157" spans="1:14" s="13" customFormat="1" x14ac:dyDescent="0.25">
      <c r="A157" s="39"/>
      <c r="B157" s="40"/>
      <c r="C157" s="40"/>
      <c r="D157" s="70"/>
      <c r="E157" s="69"/>
      <c r="F157" s="63"/>
      <c r="G157" s="65"/>
      <c r="H157" s="74" t="s">
        <v>110</v>
      </c>
      <c r="I157" s="103"/>
      <c r="J157" s="74" t="s">
        <v>111</v>
      </c>
      <c r="K157" s="40"/>
      <c r="L157" s="40"/>
      <c r="M157" s="40"/>
      <c r="N157" s="41"/>
    </row>
    <row r="158" spans="1:14" s="13" customFormat="1" x14ac:dyDescent="0.25">
      <c r="A158" s="39"/>
      <c r="B158" s="87" t="s">
        <v>261</v>
      </c>
      <c r="C158" s="40"/>
      <c r="D158" s="70"/>
      <c r="E158" s="69"/>
      <c r="F158" s="63"/>
      <c r="G158" s="65"/>
      <c r="H158" s="95">
        <f>IF(COUNT(nt)&gt;0,1/SUM(_Rtt1),0)</f>
        <v>0</v>
      </c>
      <c r="I158" s="103"/>
      <c r="J158" s="95">
        <f>IF(COUNT(nt)&gt;0,1/SUM(Xtt1),0)</f>
        <v>0</v>
      </c>
      <c r="K158" s="40"/>
      <c r="L158" s="40"/>
      <c r="M158" s="40"/>
      <c r="N158" s="41"/>
    </row>
    <row r="159" spans="1:14" s="13" customFormat="1" ht="15.75" thickBot="1" x14ac:dyDescent="0.3">
      <c r="A159" s="148"/>
      <c r="B159" s="149"/>
      <c r="C159" s="149"/>
      <c r="D159" s="150"/>
      <c r="E159" s="149"/>
      <c r="F159" s="149"/>
      <c r="G159" s="151"/>
      <c r="H159" s="149"/>
      <c r="I159" s="149"/>
      <c r="J159" s="149"/>
      <c r="K159" s="149"/>
      <c r="L159" s="149"/>
      <c r="M159" s="149"/>
      <c r="N159" s="152"/>
    </row>
    <row r="160" spans="1:14" s="13" customFormat="1" ht="69.95" customHeight="1" thickBot="1" x14ac:dyDescent="0.3">
      <c r="A160" s="47"/>
      <c r="B160" s="9"/>
      <c r="C160" s="9"/>
      <c r="D160" s="9"/>
      <c r="E160" s="1" t="s">
        <v>136</v>
      </c>
      <c r="F160" s="9"/>
      <c r="G160" s="75"/>
      <c r="H160" s="9"/>
      <c r="I160" s="9"/>
      <c r="J160" s="9"/>
      <c r="K160" s="9"/>
      <c r="L160" s="9"/>
      <c r="M160" s="9"/>
      <c r="N160" s="10"/>
    </row>
    <row r="161" spans="1:14" s="13" customFormat="1" x14ac:dyDescent="0.25">
      <c r="A161" s="42"/>
      <c r="B161" s="43"/>
      <c r="C161" s="43"/>
      <c r="D161" s="43"/>
      <c r="E161" s="43"/>
      <c r="F161" s="43"/>
      <c r="G161" s="81"/>
      <c r="H161" s="43"/>
      <c r="I161" s="43"/>
      <c r="J161" s="43"/>
      <c r="K161" s="43"/>
      <c r="L161" s="43"/>
      <c r="M161" s="43"/>
      <c r="N161" s="44"/>
    </row>
    <row r="162" spans="1:14" s="13" customFormat="1" ht="15.75" x14ac:dyDescent="0.25">
      <c r="A162" s="39"/>
      <c r="B162" s="6" t="s">
        <v>143</v>
      </c>
      <c r="C162" s="15"/>
      <c r="D162" s="15"/>
      <c r="E162" s="15"/>
      <c r="F162" s="15"/>
      <c r="G162" s="71"/>
      <c r="H162" s="15"/>
      <c r="I162" s="15"/>
      <c r="J162" s="15"/>
      <c r="K162" s="15"/>
      <c r="L162" s="15"/>
      <c r="M162" s="15"/>
      <c r="N162" s="16"/>
    </row>
    <row r="163" spans="1:14" s="13" customFormat="1" x14ac:dyDescent="0.25">
      <c r="A163" s="17"/>
      <c r="B163" s="89"/>
      <c r="C163" s="45"/>
      <c r="D163" s="45"/>
      <c r="E163" s="45"/>
      <c r="F163" s="45"/>
      <c r="G163" s="45"/>
      <c r="H163" s="71" t="s">
        <v>26</v>
      </c>
      <c r="I163" s="45" t="s">
        <v>26</v>
      </c>
      <c r="J163" s="45"/>
      <c r="K163" s="45" t="s">
        <v>59</v>
      </c>
      <c r="L163" s="45" t="s">
        <v>60</v>
      </c>
      <c r="M163" s="45" t="s">
        <v>29</v>
      </c>
      <c r="N163" s="16"/>
    </row>
    <row r="164" spans="1:14" s="11" customFormat="1" x14ac:dyDescent="0.25">
      <c r="A164" s="17"/>
      <c r="B164" s="18" t="s">
        <v>40</v>
      </c>
      <c r="C164" s="45" t="s">
        <v>20</v>
      </c>
      <c r="D164" s="45" t="s">
        <v>21</v>
      </c>
      <c r="E164" s="45" t="s">
        <v>56</v>
      </c>
      <c r="F164" s="45" t="s">
        <v>57</v>
      </c>
      <c r="G164" s="45" t="s">
        <v>130</v>
      </c>
      <c r="H164" s="71" t="s">
        <v>53</v>
      </c>
      <c r="I164" s="45" t="s">
        <v>54</v>
      </c>
      <c r="J164" s="45" t="s">
        <v>28</v>
      </c>
      <c r="K164" s="45" t="s">
        <v>30</v>
      </c>
      <c r="L164" s="45" t="s">
        <v>22</v>
      </c>
      <c r="M164" s="172" t="s">
        <v>207</v>
      </c>
      <c r="N164" s="16"/>
    </row>
    <row r="165" spans="1:14" s="13" customFormat="1" x14ac:dyDescent="0.25">
      <c r="A165" s="17"/>
      <c r="B165" s="18"/>
      <c r="C165" s="45" t="s">
        <v>24</v>
      </c>
      <c r="D165" s="45" t="s">
        <v>23</v>
      </c>
      <c r="E165" s="45" t="s">
        <v>23</v>
      </c>
      <c r="F165" s="45" t="s">
        <v>23</v>
      </c>
      <c r="G165" s="45" t="s">
        <v>23</v>
      </c>
      <c r="H165" s="71" t="s">
        <v>25</v>
      </c>
      <c r="I165" s="45" t="s">
        <v>25</v>
      </c>
      <c r="J165" s="45" t="s">
        <v>45</v>
      </c>
      <c r="K165" s="45" t="s">
        <v>10</v>
      </c>
      <c r="L165" s="45" t="s">
        <v>10</v>
      </c>
      <c r="M165" s="45" t="s">
        <v>10</v>
      </c>
      <c r="N165" s="16"/>
    </row>
    <row r="166" spans="1:14" x14ac:dyDescent="0.25">
      <c r="A166" s="17"/>
      <c r="B166" s="15" t="s">
        <v>42</v>
      </c>
      <c r="C166" s="18">
        <v>25</v>
      </c>
      <c r="D166" s="93">
        <f>SUM(E166:G166)</f>
        <v>0</v>
      </c>
      <c r="E166" s="21"/>
      <c r="F166" s="21"/>
      <c r="G166" s="21"/>
      <c r="H166" s="71">
        <v>1.2</v>
      </c>
      <c r="I166" s="18">
        <v>7.4999999999999997E-2</v>
      </c>
      <c r="J166" s="18">
        <v>4.0299999999999997E-3</v>
      </c>
      <c r="K166" s="93">
        <f>Länge*Rlbelag</f>
        <v>0</v>
      </c>
      <c r="L166" s="93">
        <f>Länge*Xlbelag</f>
        <v>0</v>
      </c>
      <c r="M166" s="93">
        <f>Rl*(1+Alpha*(60-20))</f>
        <v>0</v>
      </c>
      <c r="N166" s="16"/>
    </row>
    <row r="167" spans="1:14" x14ac:dyDescent="0.25">
      <c r="A167" s="17"/>
      <c r="B167" s="15" t="s">
        <v>41</v>
      </c>
      <c r="C167" s="18">
        <v>50</v>
      </c>
      <c r="D167" s="93">
        <f>SUM(E167:G167)</f>
        <v>0</v>
      </c>
      <c r="E167" s="21"/>
      <c r="F167" s="21"/>
      <c r="G167" s="21"/>
      <c r="H167" s="71">
        <v>0.64100000000000001</v>
      </c>
      <c r="I167" s="18">
        <v>7.0000000000000007E-2</v>
      </c>
      <c r="J167" s="18">
        <v>4.0299999999999997E-3</v>
      </c>
      <c r="K167" s="93">
        <f>Länge*Rlbelag</f>
        <v>0</v>
      </c>
      <c r="L167" s="93">
        <f>Länge*Xlbelag</f>
        <v>0</v>
      </c>
      <c r="M167" s="93">
        <f>Rl*(1+Alpha*(60-20))</f>
        <v>0</v>
      </c>
      <c r="N167" s="16"/>
    </row>
    <row r="168" spans="1:14" x14ac:dyDescent="0.25">
      <c r="A168" s="17"/>
      <c r="B168" s="15" t="s">
        <v>43</v>
      </c>
      <c r="C168" s="18">
        <v>95</v>
      </c>
      <c r="D168" s="93">
        <f>SUM(E168:G168)</f>
        <v>0</v>
      </c>
      <c r="E168" s="21"/>
      <c r="F168" s="21"/>
      <c r="G168" s="21"/>
      <c r="H168" s="71">
        <v>0.32</v>
      </c>
      <c r="I168" s="18">
        <v>6.8000000000000005E-2</v>
      </c>
      <c r="J168" s="18">
        <v>4.0299999999999997E-3</v>
      </c>
      <c r="K168" s="93">
        <f>Länge*Rlbelag</f>
        <v>0</v>
      </c>
      <c r="L168" s="93">
        <f>Länge*Xlbelag</f>
        <v>0</v>
      </c>
      <c r="M168" s="93">
        <f>Rl*(1+Alpha*(60-20))</f>
        <v>0</v>
      </c>
      <c r="N168" s="16"/>
    </row>
    <row r="169" spans="1:14" x14ac:dyDescent="0.25">
      <c r="A169" s="17"/>
      <c r="B169" s="15" t="s">
        <v>44</v>
      </c>
      <c r="C169" s="18">
        <v>150</v>
      </c>
      <c r="D169" s="93">
        <f>SUM(E169:G169)</f>
        <v>0</v>
      </c>
      <c r="E169" s="21"/>
      <c r="F169" s="21"/>
      <c r="G169" s="21"/>
      <c r="H169" s="71">
        <v>0.20599999999999999</v>
      </c>
      <c r="I169" s="18">
        <v>6.8000000000000005E-2</v>
      </c>
      <c r="J169" s="18">
        <v>4.0299999999999997E-3</v>
      </c>
      <c r="K169" s="93">
        <f>Länge*Rlbelag</f>
        <v>0</v>
      </c>
      <c r="L169" s="93">
        <f>Länge*Xlbelag</f>
        <v>0</v>
      </c>
      <c r="M169" s="93">
        <f>Rl*(1+Alpha*(60-20))</f>
        <v>0</v>
      </c>
      <c r="N169" s="16"/>
    </row>
    <row r="170" spans="1:14" x14ac:dyDescent="0.25">
      <c r="A170" s="17"/>
      <c r="B170" s="15"/>
      <c r="C170" s="18">
        <v>240</v>
      </c>
      <c r="D170" s="93">
        <f>SUM(E170:G170)</f>
        <v>0</v>
      </c>
      <c r="E170" s="21"/>
      <c r="F170" s="21"/>
      <c r="G170" s="21"/>
      <c r="H170" s="71">
        <v>0.125</v>
      </c>
      <c r="I170" s="18">
        <v>6.6000000000000003E-2</v>
      </c>
      <c r="J170" s="18">
        <v>4.0299999999999997E-3</v>
      </c>
      <c r="K170" s="93">
        <f>Länge*Rlbelag</f>
        <v>0</v>
      </c>
      <c r="L170" s="93">
        <f>Länge*Xlbelag</f>
        <v>0</v>
      </c>
      <c r="M170" s="93">
        <f>Rl*(1+Alpha*(60-20))</f>
        <v>0</v>
      </c>
      <c r="N170" s="16"/>
    </row>
    <row r="171" spans="1:14" x14ac:dyDescent="0.25">
      <c r="A171" s="17"/>
      <c r="B171" s="15"/>
      <c r="C171" s="18"/>
      <c r="D171" s="46"/>
      <c r="E171" s="46"/>
      <c r="F171" s="46"/>
      <c r="G171" s="46"/>
      <c r="H171" s="71"/>
      <c r="I171" s="18"/>
      <c r="J171" s="18"/>
      <c r="K171" s="46"/>
      <c r="L171" s="46"/>
      <c r="M171" s="46"/>
      <c r="N171" s="16"/>
    </row>
    <row r="172" spans="1:14" x14ac:dyDescent="0.25">
      <c r="A172" s="17"/>
      <c r="B172" s="15" t="s">
        <v>50</v>
      </c>
      <c r="C172" s="18">
        <v>16</v>
      </c>
      <c r="D172" s="93">
        <f t="shared" ref="D172:D180" si="10">SUM(E172:G172)</f>
        <v>0</v>
      </c>
      <c r="E172" s="171"/>
      <c r="F172" s="171"/>
      <c r="G172" s="171"/>
      <c r="H172" s="71">
        <v>1.1499999999999999</v>
      </c>
      <c r="I172" s="18">
        <v>7.6999999999999999E-2</v>
      </c>
      <c r="J172" s="18">
        <v>3.9199999999999999E-3</v>
      </c>
      <c r="K172" s="93">
        <f t="shared" ref="K172:K181" si="11">Länge*Rlbelag</f>
        <v>0</v>
      </c>
      <c r="L172" s="93">
        <f t="shared" ref="L172:L181" si="12">Länge*Xlbelag</f>
        <v>0</v>
      </c>
      <c r="M172" s="93">
        <f t="shared" ref="M172:M181" si="13">Rl*(1+Alpha*(60-20))</f>
        <v>0</v>
      </c>
      <c r="N172" s="16"/>
    </row>
    <row r="173" spans="1:14" x14ac:dyDescent="0.25">
      <c r="A173" s="17"/>
      <c r="B173" s="15" t="s">
        <v>51</v>
      </c>
      <c r="C173" s="18">
        <v>25</v>
      </c>
      <c r="D173" s="93">
        <f t="shared" si="10"/>
        <v>0</v>
      </c>
      <c r="E173" s="171"/>
      <c r="F173" s="171"/>
      <c r="G173" s="171"/>
      <c r="H173" s="71">
        <v>0.72699999999999998</v>
      </c>
      <c r="I173" s="18">
        <v>7.4999999999999997E-2</v>
      </c>
      <c r="J173" s="18">
        <v>3.9199999999999999E-3</v>
      </c>
      <c r="K173" s="93">
        <f t="shared" si="11"/>
        <v>0</v>
      </c>
      <c r="L173" s="93">
        <f t="shared" si="12"/>
        <v>0</v>
      </c>
      <c r="M173" s="93">
        <f t="shared" si="13"/>
        <v>0</v>
      </c>
      <c r="N173" s="16"/>
    </row>
    <row r="174" spans="1:14" x14ac:dyDescent="0.25">
      <c r="A174" s="17"/>
      <c r="B174" s="15" t="s">
        <v>43</v>
      </c>
      <c r="C174" s="18">
        <v>35</v>
      </c>
      <c r="D174" s="93">
        <f t="shared" si="10"/>
        <v>0</v>
      </c>
      <c r="E174" s="171"/>
      <c r="F174" s="171"/>
      <c r="G174" s="171"/>
      <c r="H174" s="71">
        <v>0.52400000000000002</v>
      </c>
      <c r="I174" s="18">
        <v>7.2999999999999995E-2</v>
      </c>
      <c r="J174" s="18">
        <v>3.9199999999999999E-3</v>
      </c>
      <c r="K174" s="93">
        <f t="shared" si="11"/>
        <v>0</v>
      </c>
      <c r="L174" s="93">
        <f t="shared" si="12"/>
        <v>0</v>
      </c>
      <c r="M174" s="93">
        <f t="shared" si="13"/>
        <v>0</v>
      </c>
      <c r="N174" s="16"/>
    </row>
    <row r="175" spans="1:14" x14ac:dyDescent="0.25">
      <c r="A175" s="17"/>
      <c r="B175" s="15" t="s">
        <v>47</v>
      </c>
      <c r="C175" s="18">
        <v>50</v>
      </c>
      <c r="D175" s="93">
        <f t="shared" si="10"/>
        <v>0</v>
      </c>
      <c r="E175" s="171"/>
      <c r="F175" s="171"/>
      <c r="G175" s="171"/>
      <c r="H175" s="71">
        <v>0.38700000000000001</v>
      </c>
      <c r="I175" s="18">
        <v>7.0000000000000007E-2</v>
      </c>
      <c r="J175" s="18">
        <v>3.9199999999999999E-3</v>
      </c>
      <c r="K175" s="93">
        <f t="shared" si="11"/>
        <v>0</v>
      </c>
      <c r="L175" s="93">
        <f t="shared" si="12"/>
        <v>0</v>
      </c>
      <c r="M175" s="93">
        <f t="shared" si="13"/>
        <v>0</v>
      </c>
      <c r="N175" s="16"/>
    </row>
    <row r="176" spans="1:14" x14ac:dyDescent="0.25">
      <c r="A176" s="17"/>
      <c r="B176" s="15"/>
      <c r="C176" s="18">
        <v>70</v>
      </c>
      <c r="D176" s="93">
        <f t="shared" ref="D176" si="14">SUM(E176:G176)</f>
        <v>0</v>
      </c>
      <c r="E176" s="21"/>
      <c r="F176" s="171"/>
      <c r="G176" s="171"/>
      <c r="H176" s="71">
        <v>0.25700000000000001</v>
      </c>
      <c r="I176" s="18">
        <v>6.8000000000000005E-2</v>
      </c>
      <c r="J176" s="18">
        <v>3.9199999999999999E-3</v>
      </c>
      <c r="K176" s="93">
        <f t="shared" si="11"/>
        <v>0</v>
      </c>
      <c r="L176" s="93">
        <f t="shared" si="12"/>
        <v>0</v>
      </c>
      <c r="M176" s="93">
        <f t="shared" si="13"/>
        <v>0</v>
      </c>
      <c r="N176" s="16"/>
    </row>
    <row r="177" spans="1:14" x14ac:dyDescent="0.25">
      <c r="A177" s="17"/>
      <c r="B177" s="15"/>
      <c r="C177" s="18">
        <v>95</v>
      </c>
      <c r="D177" s="93">
        <f t="shared" si="10"/>
        <v>0</v>
      </c>
      <c r="E177" s="21"/>
      <c r="F177" s="171"/>
      <c r="G177" s="171"/>
      <c r="H177" s="71">
        <v>0.193</v>
      </c>
      <c r="I177" s="18">
        <v>6.8000000000000005E-2</v>
      </c>
      <c r="J177" s="18">
        <v>3.9199999999999999E-3</v>
      </c>
      <c r="K177" s="93">
        <f t="shared" si="11"/>
        <v>0</v>
      </c>
      <c r="L177" s="93">
        <f t="shared" si="12"/>
        <v>0</v>
      </c>
      <c r="M177" s="93">
        <f t="shared" si="13"/>
        <v>0</v>
      </c>
      <c r="N177" s="16"/>
    </row>
    <row r="178" spans="1:14" x14ac:dyDescent="0.25">
      <c r="A178" s="17"/>
      <c r="B178" s="15"/>
      <c r="C178" s="18">
        <v>120</v>
      </c>
      <c r="D178" s="93">
        <f t="shared" si="10"/>
        <v>0</v>
      </c>
      <c r="E178" s="171"/>
      <c r="F178" s="171"/>
      <c r="G178" s="171"/>
      <c r="H178" s="71">
        <v>0.153</v>
      </c>
      <c r="I178" s="18">
        <v>6.7000000000000004E-2</v>
      </c>
      <c r="J178" s="18">
        <v>3.9199999999999999E-3</v>
      </c>
      <c r="K178" s="93">
        <f t="shared" si="11"/>
        <v>0</v>
      </c>
      <c r="L178" s="93">
        <f t="shared" si="12"/>
        <v>0</v>
      </c>
      <c r="M178" s="93">
        <f t="shared" si="13"/>
        <v>0</v>
      </c>
      <c r="N178" s="16"/>
    </row>
    <row r="179" spans="1:14" x14ac:dyDescent="0.25">
      <c r="A179" s="17"/>
      <c r="B179" s="15"/>
      <c r="C179" s="18">
        <v>150</v>
      </c>
      <c r="D179" s="93">
        <f t="shared" si="10"/>
        <v>0</v>
      </c>
      <c r="E179" s="171"/>
      <c r="F179" s="21"/>
      <c r="G179" s="171"/>
      <c r="H179" s="71">
        <v>0.124</v>
      </c>
      <c r="I179" s="18">
        <v>6.7000000000000004E-2</v>
      </c>
      <c r="J179" s="18">
        <v>3.9199999999999999E-3</v>
      </c>
      <c r="K179" s="93">
        <f t="shared" si="11"/>
        <v>0</v>
      </c>
      <c r="L179" s="93">
        <f t="shared" si="12"/>
        <v>0</v>
      </c>
      <c r="M179" s="93">
        <f t="shared" si="13"/>
        <v>0</v>
      </c>
      <c r="N179" s="16"/>
    </row>
    <row r="180" spans="1:14" x14ac:dyDescent="0.25">
      <c r="A180" s="17"/>
      <c r="B180" s="15"/>
      <c r="C180" s="18">
        <v>240</v>
      </c>
      <c r="D180" s="93">
        <f t="shared" si="10"/>
        <v>0</v>
      </c>
      <c r="E180" s="21"/>
      <c r="F180" s="178"/>
      <c r="G180" s="171"/>
      <c r="H180" s="71">
        <v>7.8E-2</v>
      </c>
      <c r="I180" s="18">
        <v>6.7000000000000004E-2</v>
      </c>
      <c r="J180" s="18">
        <v>3.9199999999999999E-3</v>
      </c>
      <c r="K180" s="93">
        <f t="shared" si="11"/>
        <v>0</v>
      </c>
      <c r="L180" s="93">
        <f t="shared" si="12"/>
        <v>0</v>
      </c>
      <c r="M180" s="93">
        <f t="shared" si="13"/>
        <v>0</v>
      </c>
      <c r="N180" s="16"/>
    </row>
    <row r="181" spans="1:14" x14ac:dyDescent="0.25">
      <c r="A181" s="17"/>
      <c r="B181" s="15"/>
      <c r="C181" s="18">
        <v>300</v>
      </c>
      <c r="D181" s="93">
        <f t="shared" ref="D181" si="15">SUM(E181:G181)</f>
        <v>0</v>
      </c>
      <c r="E181" s="21"/>
      <c r="F181" s="178"/>
      <c r="G181" s="171"/>
      <c r="H181" s="71">
        <f>0.018/300*1000</f>
        <v>0.06</v>
      </c>
      <c r="I181" s="18">
        <v>6.7000000000000004E-2</v>
      </c>
      <c r="J181" s="18">
        <v>3.9199999999999999E-3</v>
      </c>
      <c r="K181" s="93">
        <f t="shared" si="11"/>
        <v>0</v>
      </c>
      <c r="L181" s="93">
        <f t="shared" si="12"/>
        <v>0</v>
      </c>
      <c r="M181" s="93">
        <f t="shared" si="13"/>
        <v>0</v>
      </c>
      <c r="N181" s="16"/>
    </row>
    <row r="182" spans="1:14" x14ac:dyDescent="0.25">
      <c r="A182" s="17"/>
      <c r="B182" s="15"/>
      <c r="C182" s="18"/>
      <c r="D182" s="46"/>
      <c r="E182" s="46"/>
      <c r="F182" s="46"/>
      <c r="G182" s="46"/>
      <c r="H182" s="71"/>
      <c r="I182" s="18"/>
      <c r="J182" s="18"/>
      <c r="K182" s="46"/>
      <c r="L182" s="46"/>
      <c r="M182" s="46"/>
      <c r="N182" s="16"/>
    </row>
    <row r="183" spans="1:14" x14ac:dyDescent="0.25">
      <c r="A183" s="17"/>
      <c r="B183" s="15" t="s">
        <v>49</v>
      </c>
      <c r="C183" s="201" t="s">
        <v>229</v>
      </c>
      <c r="D183" s="93">
        <f t="shared" ref="D183:D188" si="16">SUM(E183:G183)</f>
        <v>0</v>
      </c>
      <c r="E183" s="21"/>
      <c r="F183" s="21"/>
      <c r="G183" s="21"/>
      <c r="H183" s="71">
        <v>2.0960000000000001</v>
      </c>
      <c r="I183" s="18">
        <v>0.313</v>
      </c>
      <c r="J183" s="18">
        <v>4.0299999999999997E-3</v>
      </c>
      <c r="K183" s="93">
        <f t="shared" ref="K183:K188" si="17">Länge*Rlbelag</f>
        <v>0</v>
      </c>
      <c r="L183" s="93">
        <f t="shared" ref="L183:L188" si="18">Länge*Xlbelag</f>
        <v>0</v>
      </c>
      <c r="M183" s="93">
        <f t="shared" ref="M183:M188" si="19">Rl*(1+Alpha*(80-20))</f>
        <v>0</v>
      </c>
      <c r="N183" s="16"/>
    </row>
    <row r="184" spans="1:14" x14ac:dyDescent="0.25">
      <c r="A184" s="17"/>
      <c r="B184" s="15" t="s">
        <v>46</v>
      </c>
      <c r="C184" s="201" t="s">
        <v>230</v>
      </c>
      <c r="D184" s="93">
        <f t="shared" si="16"/>
        <v>0</v>
      </c>
      <c r="E184" s="21"/>
      <c r="F184" s="21"/>
      <c r="G184" s="21"/>
      <c r="H184" s="71">
        <v>1.37</v>
      </c>
      <c r="I184" s="18">
        <v>0.30299999999999999</v>
      </c>
      <c r="J184" s="18">
        <v>4.0299999999999997E-3</v>
      </c>
      <c r="K184" s="93">
        <f t="shared" si="17"/>
        <v>0</v>
      </c>
      <c r="L184" s="93">
        <f t="shared" si="18"/>
        <v>0</v>
      </c>
      <c r="M184" s="93">
        <f t="shared" si="19"/>
        <v>0</v>
      </c>
      <c r="N184" s="16"/>
    </row>
    <row r="185" spans="1:14" x14ac:dyDescent="0.25">
      <c r="A185" s="17"/>
      <c r="B185" s="15"/>
      <c r="C185" s="201" t="s">
        <v>231</v>
      </c>
      <c r="D185" s="93">
        <f t="shared" si="16"/>
        <v>0</v>
      </c>
      <c r="E185" s="21"/>
      <c r="F185" s="21"/>
      <c r="G185" s="21"/>
      <c r="H185" s="71">
        <v>0.96699999999999997</v>
      </c>
      <c r="I185" s="18">
        <v>0.28599999999999998</v>
      </c>
      <c r="J185" s="18">
        <v>4.0299999999999997E-3</v>
      </c>
      <c r="K185" s="93">
        <f t="shared" si="17"/>
        <v>0</v>
      </c>
      <c r="L185" s="93">
        <f t="shared" si="18"/>
        <v>0</v>
      </c>
      <c r="M185" s="93">
        <f t="shared" si="19"/>
        <v>0</v>
      </c>
      <c r="N185" s="16"/>
    </row>
    <row r="186" spans="1:14" x14ac:dyDescent="0.25">
      <c r="A186" s="17"/>
      <c r="B186" s="15"/>
      <c r="C186" s="201" t="s">
        <v>232</v>
      </c>
      <c r="D186" s="93">
        <f t="shared" si="16"/>
        <v>0</v>
      </c>
      <c r="E186" s="21"/>
      <c r="F186" s="21"/>
      <c r="G186" s="21"/>
      <c r="H186" s="71">
        <v>0.67100000000000004</v>
      </c>
      <c r="I186" s="18">
        <v>0.27600000000000002</v>
      </c>
      <c r="J186" s="18">
        <v>4.0299999999999997E-3</v>
      </c>
      <c r="K186" s="93">
        <f t="shared" si="17"/>
        <v>0</v>
      </c>
      <c r="L186" s="93">
        <f t="shared" si="18"/>
        <v>0</v>
      </c>
      <c r="M186" s="93">
        <f t="shared" si="19"/>
        <v>0</v>
      </c>
      <c r="N186" s="16"/>
    </row>
    <row r="187" spans="1:14" x14ac:dyDescent="0.25">
      <c r="A187" s="17"/>
      <c r="B187" s="15"/>
      <c r="C187" s="201" t="s">
        <v>233</v>
      </c>
      <c r="D187" s="93">
        <f t="shared" si="16"/>
        <v>0</v>
      </c>
      <c r="E187" s="21"/>
      <c r="F187" s="21"/>
      <c r="G187" s="21"/>
      <c r="H187" s="71">
        <v>0.50700000000000001</v>
      </c>
      <c r="I187" s="18">
        <v>0.26500000000000001</v>
      </c>
      <c r="J187" s="18">
        <v>4.0299999999999997E-3</v>
      </c>
      <c r="K187" s="93">
        <f t="shared" si="17"/>
        <v>0</v>
      </c>
      <c r="L187" s="93">
        <f t="shared" si="18"/>
        <v>0</v>
      </c>
      <c r="M187" s="93">
        <f t="shared" si="19"/>
        <v>0</v>
      </c>
      <c r="N187" s="16"/>
    </row>
    <row r="188" spans="1:14" x14ac:dyDescent="0.25">
      <c r="A188" s="17"/>
      <c r="B188" s="15"/>
      <c r="C188" s="201" t="s">
        <v>234</v>
      </c>
      <c r="D188" s="93">
        <f t="shared" si="16"/>
        <v>0</v>
      </c>
      <c r="E188" s="21"/>
      <c r="F188" s="21"/>
      <c r="G188" s="21"/>
      <c r="H188" s="71">
        <v>0.35799999999999998</v>
      </c>
      <c r="I188" s="18">
        <v>0.252</v>
      </c>
      <c r="J188" s="18">
        <v>4.0299999999999997E-3</v>
      </c>
      <c r="K188" s="93">
        <f t="shared" si="17"/>
        <v>0</v>
      </c>
      <c r="L188" s="93">
        <f t="shared" si="18"/>
        <v>0</v>
      </c>
      <c r="M188" s="93">
        <f t="shared" si="19"/>
        <v>0</v>
      </c>
      <c r="N188" s="16"/>
    </row>
    <row r="189" spans="1:14" x14ac:dyDescent="0.25">
      <c r="A189" s="17"/>
      <c r="B189" s="15"/>
      <c r="C189" s="18"/>
      <c r="D189" s="46"/>
      <c r="E189" s="46"/>
      <c r="F189" s="46"/>
      <c r="G189" s="46"/>
      <c r="H189" s="71"/>
      <c r="I189" s="18"/>
      <c r="J189" s="18"/>
      <c r="K189" s="46"/>
      <c r="L189" s="46"/>
      <c r="M189" s="46"/>
      <c r="N189" s="16"/>
    </row>
    <row r="190" spans="1:14" x14ac:dyDescent="0.25">
      <c r="A190" s="17"/>
      <c r="B190" s="15" t="s">
        <v>48</v>
      </c>
      <c r="C190" s="201" t="s">
        <v>229</v>
      </c>
      <c r="D190" s="93">
        <f t="shared" ref="D190:D193" si="20">SUM(E190:G190)</f>
        <v>0</v>
      </c>
      <c r="E190" s="21"/>
      <c r="F190" s="21"/>
      <c r="G190" s="21"/>
      <c r="H190" s="71">
        <v>1.123</v>
      </c>
      <c r="I190" s="18">
        <v>0.315</v>
      </c>
      <c r="J190" s="18">
        <v>3.9199999999999999E-3</v>
      </c>
      <c r="K190" s="93">
        <f t="shared" ref="K190:K193" si="21">Länge*Rlbelag</f>
        <v>0</v>
      </c>
      <c r="L190" s="93">
        <f t="shared" ref="L190:L193" si="22">Länge*Xlbelag</f>
        <v>0</v>
      </c>
      <c r="M190" s="93">
        <f t="shared" ref="M190:M193" si="23">Rl*(1+Alpha*(80-20))</f>
        <v>0</v>
      </c>
      <c r="N190" s="16"/>
    </row>
    <row r="191" spans="1:14" x14ac:dyDescent="0.25">
      <c r="A191" s="17"/>
      <c r="B191" s="15" t="s">
        <v>46</v>
      </c>
      <c r="C191" s="201" t="s">
        <v>230</v>
      </c>
      <c r="D191" s="93">
        <f t="shared" si="20"/>
        <v>0</v>
      </c>
      <c r="E191" s="21"/>
      <c r="F191" s="21"/>
      <c r="G191" s="21"/>
      <c r="H191" s="71">
        <v>0.73799999999999999</v>
      </c>
      <c r="I191" s="18">
        <v>0.30499999999999999</v>
      </c>
      <c r="J191" s="18">
        <v>3.9199999999999999E-3</v>
      </c>
      <c r="K191" s="93">
        <f t="shared" si="21"/>
        <v>0</v>
      </c>
      <c r="L191" s="93">
        <f t="shared" si="22"/>
        <v>0</v>
      </c>
      <c r="M191" s="93">
        <f t="shared" si="23"/>
        <v>0</v>
      </c>
      <c r="N191" s="16"/>
    </row>
    <row r="192" spans="1:14" s="11" customFormat="1" x14ac:dyDescent="0.25">
      <c r="A192" s="17"/>
      <c r="B192" s="15"/>
      <c r="C192" s="201" t="s">
        <v>231</v>
      </c>
      <c r="D192" s="93">
        <f t="shared" si="20"/>
        <v>0</v>
      </c>
      <c r="E192" s="21"/>
      <c r="F192" s="21"/>
      <c r="G192" s="21"/>
      <c r="H192" s="71">
        <v>0.51900000000000002</v>
      </c>
      <c r="I192" s="18">
        <v>0.28599999999999998</v>
      </c>
      <c r="J192" s="18">
        <v>3.9199999999999999E-3</v>
      </c>
      <c r="K192" s="93">
        <f t="shared" si="21"/>
        <v>0</v>
      </c>
      <c r="L192" s="93">
        <f t="shared" si="22"/>
        <v>0</v>
      </c>
      <c r="M192" s="93">
        <f t="shared" si="23"/>
        <v>0</v>
      </c>
      <c r="N192" s="16"/>
    </row>
    <row r="193" spans="1:14" s="57" customFormat="1" x14ac:dyDescent="0.25">
      <c r="A193" s="17"/>
      <c r="B193" s="15"/>
      <c r="C193" s="201" t="s">
        <v>232</v>
      </c>
      <c r="D193" s="93">
        <f t="shared" si="20"/>
        <v>0</v>
      </c>
      <c r="E193" s="21"/>
      <c r="F193" s="21"/>
      <c r="G193" s="21"/>
      <c r="H193" s="71">
        <v>0.36099999999999999</v>
      </c>
      <c r="I193" s="18">
        <v>0.27600000000000002</v>
      </c>
      <c r="J193" s="18">
        <v>3.9199999999999999E-3</v>
      </c>
      <c r="K193" s="93">
        <f t="shared" si="21"/>
        <v>0</v>
      </c>
      <c r="L193" s="93">
        <f t="shared" si="22"/>
        <v>0</v>
      </c>
      <c r="M193" s="93">
        <f t="shared" si="23"/>
        <v>0</v>
      </c>
      <c r="N193" s="16"/>
    </row>
    <row r="194" spans="1:14" s="58" customFormat="1" x14ac:dyDescent="0.25">
      <c r="A194" s="17"/>
      <c r="B194" s="15"/>
      <c r="C194" s="18"/>
      <c r="D194" s="46"/>
      <c r="E194" s="46"/>
      <c r="F194" s="46"/>
      <c r="G194" s="46"/>
      <c r="H194" s="71"/>
      <c r="I194" s="18"/>
      <c r="J194" s="18"/>
      <c r="K194" s="46"/>
      <c r="L194" s="46"/>
      <c r="M194" s="46"/>
      <c r="N194" s="16"/>
    </row>
    <row r="195" spans="1:14" x14ac:dyDescent="0.25">
      <c r="A195" s="17"/>
      <c r="B195" s="87" t="s">
        <v>262</v>
      </c>
      <c r="C195" s="18"/>
      <c r="D195" s="18"/>
      <c r="E195" s="18"/>
      <c r="F195" s="18"/>
      <c r="G195" s="18"/>
      <c r="H195" s="71"/>
      <c r="I195" s="18"/>
      <c r="J195" s="18"/>
      <c r="K195" s="46" t="s">
        <v>52</v>
      </c>
      <c r="L195" s="46" t="s">
        <v>27</v>
      </c>
      <c r="M195" s="173" t="s">
        <v>206</v>
      </c>
      <c r="N195" s="16"/>
    </row>
    <row r="196" spans="1:14" x14ac:dyDescent="0.25">
      <c r="A196" s="17"/>
      <c r="B196" s="15" t="s">
        <v>145</v>
      </c>
      <c r="C196" s="18"/>
      <c r="D196" s="93">
        <f>SUM(D166:D195)</f>
        <v>0</v>
      </c>
      <c r="E196" s="18"/>
      <c r="F196" s="98"/>
      <c r="G196" s="85"/>
      <c r="H196" s="18"/>
      <c r="I196" s="45" t="s">
        <v>146</v>
      </c>
      <c r="J196" s="45" t="s">
        <v>10</v>
      </c>
      <c r="K196" s="93">
        <f>SUM(K166:K194)</f>
        <v>0</v>
      </c>
      <c r="L196" s="93">
        <f>SUM(L166:L194)</f>
        <v>0</v>
      </c>
      <c r="M196" s="93">
        <f>SUM(M166:M194)</f>
        <v>0</v>
      </c>
      <c r="N196" s="16"/>
    </row>
    <row r="197" spans="1:14" ht="15.75" thickBot="1" x14ac:dyDescent="0.3">
      <c r="A197" s="30"/>
      <c r="B197" s="31"/>
      <c r="C197" s="31"/>
      <c r="D197" s="31"/>
      <c r="E197" s="31"/>
      <c r="F197" s="31"/>
      <c r="G197" s="77"/>
      <c r="H197" s="31"/>
      <c r="I197" s="31"/>
      <c r="J197" s="31"/>
      <c r="K197" s="31"/>
      <c r="L197" s="31"/>
      <c r="M197" s="31"/>
      <c r="N197" s="32"/>
    </row>
    <row r="198" spans="1:14" x14ac:dyDescent="0.25">
      <c r="A198" s="33"/>
      <c r="B198" s="34"/>
      <c r="C198" s="34"/>
      <c r="D198" s="34"/>
      <c r="E198" s="34"/>
      <c r="F198" s="34"/>
      <c r="G198" s="78"/>
      <c r="H198" s="34"/>
      <c r="I198" s="34"/>
      <c r="J198" s="34"/>
      <c r="K198" s="34"/>
      <c r="L198" s="34"/>
      <c r="M198" s="34"/>
      <c r="N198" s="35"/>
    </row>
    <row r="199" spans="1:14" ht="15.75" x14ac:dyDescent="0.25">
      <c r="A199" s="17"/>
      <c r="B199" s="6" t="s">
        <v>153</v>
      </c>
      <c r="C199" s="15"/>
      <c r="D199" s="15"/>
      <c r="E199" s="15"/>
      <c r="F199" s="15"/>
      <c r="G199" s="71"/>
      <c r="H199" s="15"/>
      <c r="I199" s="15"/>
      <c r="J199" s="15"/>
      <c r="K199" s="15"/>
      <c r="L199" s="15"/>
      <c r="M199" s="15"/>
      <c r="N199" s="16"/>
    </row>
    <row r="200" spans="1:14" ht="15.75" thickBot="1" x14ac:dyDescent="0.3">
      <c r="A200" s="17"/>
      <c r="B200" s="15"/>
      <c r="C200" s="15"/>
      <c r="D200" s="15"/>
      <c r="E200" s="15"/>
      <c r="F200" s="15"/>
      <c r="G200" s="71"/>
      <c r="H200" s="15"/>
      <c r="I200" s="15"/>
      <c r="J200" s="15"/>
      <c r="K200" s="15"/>
      <c r="L200" s="15"/>
      <c r="M200" s="15"/>
      <c r="N200" s="16"/>
    </row>
    <row r="201" spans="1:14" ht="18.75" x14ac:dyDescent="0.3">
      <c r="A201" s="17"/>
      <c r="B201" s="87"/>
      <c r="C201" s="99"/>
      <c r="D201" s="96" t="s">
        <v>55</v>
      </c>
      <c r="E201" s="13"/>
      <c r="F201" s="72"/>
      <c r="G201" s="13"/>
      <c r="H201" s="13"/>
      <c r="I201" s="13"/>
      <c r="J201" s="13"/>
      <c r="K201" s="13"/>
      <c r="L201" s="13"/>
      <c r="M201" s="13"/>
      <c r="N201" s="52"/>
    </row>
    <row r="202" spans="1:14" x14ac:dyDescent="0.25">
      <c r="A202" s="12"/>
      <c r="B202" s="13" t="s">
        <v>3</v>
      </c>
      <c r="C202" s="207"/>
      <c r="D202" s="139">
        <f>Rün</f>
        <v>0.44453933482734187</v>
      </c>
      <c r="E202" s="13" t="s">
        <v>10</v>
      </c>
      <c r="F202" s="72"/>
      <c r="G202" s="13"/>
      <c r="H202" s="13"/>
      <c r="I202" s="13"/>
      <c r="J202" s="13"/>
      <c r="K202" s="13"/>
      <c r="L202" s="13"/>
      <c r="M202" s="13"/>
      <c r="N202" s="52"/>
    </row>
    <row r="203" spans="1:14" x14ac:dyDescent="0.25">
      <c r="A203" s="12"/>
      <c r="B203" s="13" t="s">
        <v>4</v>
      </c>
      <c r="C203" s="207"/>
      <c r="D203" s="139">
        <f>Xün</f>
        <v>2.5211078477112525</v>
      </c>
      <c r="E203" s="13" t="s">
        <v>10</v>
      </c>
      <c r="F203" s="72"/>
      <c r="G203" s="13"/>
      <c r="H203" s="13"/>
      <c r="I203" s="13"/>
      <c r="J203" s="13"/>
      <c r="K203" s="13"/>
      <c r="L203" s="13"/>
      <c r="M203" s="13"/>
      <c r="N203" s="52"/>
    </row>
    <row r="204" spans="1:14" s="48" customFormat="1" x14ac:dyDescent="0.25">
      <c r="A204" s="12"/>
      <c r="B204" s="13" t="s">
        <v>32</v>
      </c>
      <c r="C204" s="207"/>
      <c r="D204" s="139">
        <f>Uün/Uv</f>
        <v>40</v>
      </c>
      <c r="E204" s="13"/>
      <c r="F204" s="72"/>
      <c r="G204" s="13" t="s">
        <v>138</v>
      </c>
      <c r="H204" s="13"/>
      <c r="I204" s="13"/>
      <c r="J204" s="13"/>
      <c r="K204" s="13"/>
      <c r="L204" s="13"/>
      <c r="M204" s="13"/>
      <c r="N204" s="49"/>
    </row>
    <row r="205" spans="1:14" s="61" customFormat="1" x14ac:dyDescent="0.25">
      <c r="A205" s="12"/>
      <c r="B205" s="13" t="s">
        <v>31</v>
      </c>
      <c r="C205" s="207"/>
      <c r="D205" s="139">
        <f>Rün*1/üt1^2</f>
        <v>2.7783708426708866E-4</v>
      </c>
      <c r="E205" s="13" t="s">
        <v>10</v>
      </c>
      <c r="F205" s="208" t="s">
        <v>29</v>
      </c>
      <c r="G205" s="13" t="s">
        <v>35</v>
      </c>
      <c r="H205" s="13"/>
      <c r="I205" s="13"/>
      <c r="J205" s="13"/>
      <c r="K205" s="13"/>
      <c r="L205" s="13"/>
      <c r="M205" s="13"/>
      <c r="N205" s="60"/>
    </row>
    <row r="206" spans="1:14" s="13" customFormat="1" x14ac:dyDescent="0.25">
      <c r="A206" s="12"/>
      <c r="B206" s="13" t="s">
        <v>34</v>
      </c>
      <c r="C206" s="207"/>
      <c r="D206" s="139">
        <f>Xün*1/üt1^2</f>
        <v>1.5756924048195328E-3</v>
      </c>
      <c r="E206" s="13" t="s">
        <v>10</v>
      </c>
      <c r="F206" s="208" t="s">
        <v>33</v>
      </c>
      <c r="G206" s="13" t="s">
        <v>36</v>
      </c>
      <c r="N206" s="14"/>
    </row>
    <row r="207" spans="1:14" s="61" customFormat="1" x14ac:dyDescent="0.25">
      <c r="A207" s="12"/>
      <c r="B207" s="13" t="s">
        <v>139</v>
      </c>
      <c r="C207" s="207"/>
      <c r="D207" s="139">
        <f>Rt</f>
        <v>0</v>
      </c>
      <c r="E207" s="13" t="s">
        <v>10</v>
      </c>
      <c r="F207" s="72"/>
      <c r="G207" s="13" t="s">
        <v>141</v>
      </c>
      <c r="H207" s="13"/>
      <c r="I207" s="13"/>
      <c r="J207" s="13"/>
      <c r="K207" s="13"/>
      <c r="L207" s="13"/>
      <c r="M207" s="13"/>
      <c r="N207" s="60"/>
    </row>
    <row r="208" spans="1:14" s="61" customFormat="1" x14ac:dyDescent="0.25">
      <c r="A208" s="12"/>
      <c r="B208" s="13" t="s">
        <v>140</v>
      </c>
      <c r="C208" s="207"/>
      <c r="D208" s="139">
        <f>Xt</f>
        <v>0</v>
      </c>
      <c r="E208" s="13" t="s">
        <v>10</v>
      </c>
      <c r="F208" s="72"/>
      <c r="G208" s="13" t="s">
        <v>142</v>
      </c>
      <c r="H208" s="13"/>
      <c r="I208" s="13"/>
      <c r="J208" s="13"/>
      <c r="K208" s="13"/>
      <c r="L208" s="13"/>
      <c r="M208" s="13"/>
      <c r="N208" s="60"/>
    </row>
    <row r="209" spans="1:14" s="61" customFormat="1" x14ac:dyDescent="0.25">
      <c r="A209" s="12"/>
      <c r="B209" s="13" t="s">
        <v>147</v>
      </c>
      <c r="C209" s="207"/>
      <c r="D209" s="139">
        <f>SQRT(Rt^2+Xt^2)</f>
        <v>0</v>
      </c>
      <c r="E209" s="13" t="s">
        <v>10</v>
      </c>
      <c r="F209" s="72"/>
      <c r="G209" s="13" t="s">
        <v>148</v>
      </c>
      <c r="H209" s="13"/>
      <c r="I209" s="13"/>
      <c r="J209" s="13"/>
      <c r="K209" s="13"/>
      <c r="L209" s="13"/>
      <c r="M209" s="13"/>
      <c r="N209" s="60"/>
    </row>
    <row r="210" spans="1:14" s="61" customFormat="1" x14ac:dyDescent="0.25">
      <c r="A210" s="12"/>
      <c r="B210" s="13" t="s">
        <v>52</v>
      </c>
      <c r="C210" s="207"/>
      <c r="D210" s="139">
        <f>Rlt</f>
        <v>0</v>
      </c>
      <c r="E210" s="13" t="s">
        <v>10</v>
      </c>
      <c r="F210" s="72"/>
      <c r="G210" s="13" t="s">
        <v>150</v>
      </c>
      <c r="H210" s="13"/>
      <c r="I210" s="13"/>
      <c r="J210" s="13"/>
      <c r="K210" s="13"/>
      <c r="L210" s="13"/>
      <c r="M210" s="13"/>
      <c r="N210" s="60"/>
    </row>
    <row r="211" spans="1:14" s="61" customFormat="1" x14ac:dyDescent="0.25">
      <c r="A211" s="12"/>
      <c r="B211" s="13" t="s">
        <v>27</v>
      </c>
      <c r="C211" s="207"/>
      <c r="D211" s="139">
        <f>Xlt</f>
        <v>0</v>
      </c>
      <c r="E211" s="13" t="s">
        <v>10</v>
      </c>
      <c r="F211" s="72"/>
      <c r="G211" s="13" t="s">
        <v>151</v>
      </c>
      <c r="H211" s="13"/>
      <c r="I211" s="13"/>
      <c r="J211" s="13"/>
      <c r="K211" s="13"/>
      <c r="L211" s="13"/>
      <c r="M211" s="13"/>
      <c r="N211" s="60"/>
    </row>
    <row r="212" spans="1:14" s="61" customFormat="1" x14ac:dyDescent="0.25">
      <c r="A212" s="12"/>
      <c r="B212" s="13" t="s">
        <v>149</v>
      </c>
      <c r="C212" s="213"/>
      <c r="D212" s="140">
        <f>SQRT(Rlt^2+Xlt^2)</f>
        <v>0</v>
      </c>
      <c r="E212" s="13" t="s">
        <v>10</v>
      </c>
      <c r="F212" s="72"/>
      <c r="G212" s="13" t="s">
        <v>152</v>
      </c>
      <c r="H212" s="13"/>
      <c r="I212" s="13"/>
      <c r="J212" s="13"/>
      <c r="K212" s="13"/>
      <c r="L212" s="13"/>
      <c r="M212" s="13"/>
      <c r="N212" s="60"/>
    </row>
    <row r="213" spans="1:14" s="61" customFormat="1" x14ac:dyDescent="0.25">
      <c r="A213" s="12"/>
      <c r="B213" s="13"/>
      <c r="C213" s="207"/>
      <c r="D213" s="139"/>
      <c r="E213" s="13"/>
      <c r="F213" s="72"/>
      <c r="G213" s="13"/>
      <c r="H213" s="13"/>
      <c r="I213" s="13"/>
      <c r="J213" s="13"/>
      <c r="K213" s="13"/>
      <c r="L213" s="13"/>
      <c r="M213" s="13"/>
      <c r="N213" s="60"/>
    </row>
    <row r="214" spans="1:14" s="61" customFormat="1" x14ac:dyDescent="0.25">
      <c r="A214" s="12"/>
      <c r="B214" s="87" t="s">
        <v>263</v>
      </c>
      <c r="C214" s="207"/>
      <c r="D214" s="139">
        <f>Rünv+Rt+Rlt</f>
        <v>2.7783708426708866E-4</v>
      </c>
      <c r="E214" s="13" t="s">
        <v>10</v>
      </c>
      <c r="F214" s="72"/>
      <c r="G214" s="13" t="s">
        <v>37</v>
      </c>
      <c r="H214" s="13"/>
      <c r="I214" s="13"/>
      <c r="J214" s="13"/>
      <c r="K214" s="13"/>
      <c r="L214" s="13"/>
      <c r="M214" s="13"/>
      <c r="N214" s="60"/>
    </row>
    <row r="215" spans="1:14" s="61" customFormat="1" x14ac:dyDescent="0.25">
      <c r="A215" s="12"/>
      <c r="B215" s="87" t="s">
        <v>264</v>
      </c>
      <c r="C215" s="207"/>
      <c r="D215" s="139">
        <f>Xünv+Xt+Xlt</f>
        <v>1.5756924048195328E-3</v>
      </c>
      <c r="E215" s="13" t="s">
        <v>10</v>
      </c>
      <c r="F215" s="72"/>
      <c r="G215" s="13" t="s">
        <v>38</v>
      </c>
      <c r="H215" s="13"/>
      <c r="I215" s="13"/>
      <c r="J215" s="13"/>
      <c r="K215" s="13"/>
      <c r="L215" s="13"/>
      <c r="M215" s="13"/>
      <c r="N215" s="60"/>
    </row>
    <row r="216" spans="1:14" s="61" customFormat="1" x14ac:dyDescent="0.25">
      <c r="A216" s="12"/>
      <c r="B216" s="13" t="s">
        <v>61</v>
      </c>
      <c r="C216" s="207"/>
      <c r="D216" s="139">
        <f>360/(2*PI())*ATAN(_Xv20/_Rv20)</f>
        <v>80</v>
      </c>
      <c r="E216" s="13" t="s">
        <v>8</v>
      </c>
      <c r="F216" s="208" t="s">
        <v>266</v>
      </c>
      <c r="G216" s="13" t="s">
        <v>62</v>
      </c>
      <c r="H216" s="13"/>
      <c r="I216" s="13"/>
      <c r="J216" s="13"/>
      <c r="K216" s="13"/>
      <c r="L216" s="13"/>
      <c r="M216" s="13"/>
      <c r="N216" s="60"/>
    </row>
    <row r="217" spans="1:14" s="61" customFormat="1" x14ac:dyDescent="0.25">
      <c r="A217" s="12"/>
      <c r="B217" s="13"/>
      <c r="C217" s="207"/>
      <c r="D217" s="139"/>
      <c r="E217" s="13"/>
      <c r="F217" s="72"/>
      <c r="G217" s="13"/>
      <c r="H217" s="13"/>
      <c r="I217" s="13"/>
      <c r="J217" s="13"/>
      <c r="K217" s="13"/>
      <c r="L217" s="13"/>
      <c r="M217" s="13"/>
      <c r="N217" s="60"/>
    </row>
    <row r="218" spans="1:14" s="61" customFormat="1" x14ac:dyDescent="0.25">
      <c r="A218" s="12"/>
      <c r="B218" s="87" t="s">
        <v>265</v>
      </c>
      <c r="C218" s="207"/>
      <c r="D218" s="139">
        <f>SQRT(_Rv20^2+_Xv20^2)</f>
        <v>1.5999999999999999E-3</v>
      </c>
      <c r="E218" s="13" t="s">
        <v>10</v>
      </c>
      <c r="F218" s="208" t="s">
        <v>267</v>
      </c>
      <c r="G218" s="13" t="s">
        <v>39</v>
      </c>
      <c r="H218" s="13"/>
      <c r="I218" s="13"/>
      <c r="J218" s="13"/>
      <c r="K218" s="13"/>
      <c r="L218" s="13"/>
      <c r="M218" s="13"/>
      <c r="N218" s="60"/>
    </row>
    <row r="219" spans="1:14" s="61" customFormat="1" x14ac:dyDescent="0.25">
      <c r="A219" s="12"/>
      <c r="B219" s="13" t="s">
        <v>9</v>
      </c>
      <c r="C219" s="207"/>
      <c r="D219" s="139">
        <f>Uv</f>
        <v>0.4</v>
      </c>
      <c r="E219" s="13" t="s">
        <v>7</v>
      </c>
      <c r="F219" s="72"/>
      <c r="G219" s="13" t="s">
        <v>99</v>
      </c>
      <c r="H219" s="13"/>
      <c r="I219" s="13"/>
      <c r="J219" s="13"/>
      <c r="K219" s="13"/>
      <c r="L219" s="13"/>
      <c r="M219" s="13"/>
      <c r="N219" s="60"/>
    </row>
    <row r="220" spans="1:14" s="61" customFormat="1" x14ac:dyDescent="0.25">
      <c r="A220" s="59"/>
      <c r="D220" s="126"/>
      <c r="N220" s="60"/>
    </row>
    <row r="221" spans="1:14" s="61" customFormat="1" ht="18.75" x14ac:dyDescent="0.3">
      <c r="A221" s="125"/>
      <c r="B221" s="2" t="s">
        <v>187</v>
      </c>
      <c r="C221" s="99"/>
      <c r="D221" s="212">
        <f>Uv^2/_Zv20</f>
        <v>100.00000000000003</v>
      </c>
      <c r="E221" s="2" t="s">
        <v>5</v>
      </c>
      <c r="F221" s="2" t="s">
        <v>197</v>
      </c>
      <c r="H221" s="2"/>
      <c r="I221" s="2"/>
      <c r="J221" s="3"/>
      <c r="K221" s="3"/>
      <c r="L221" s="3"/>
      <c r="M221" s="3"/>
      <c r="N221" s="60"/>
    </row>
    <row r="222" spans="1:14" s="61" customFormat="1" ht="19.5" thickBot="1" x14ac:dyDescent="0.35">
      <c r="A222" s="125"/>
      <c r="B222" s="2" t="s">
        <v>196</v>
      </c>
      <c r="C222" s="99"/>
      <c r="D222" s="212">
        <f>Uv/(_Zv20*SQRT(3))</f>
        <v>144.33756729740648</v>
      </c>
      <c r="E222" s="2" t="s">
        <v>165</v>
      </c>
      <c r="F222" s="2" t="s">
        <v>166</v>
      </c>
      <c r="H222" s="2"/>
      <c r="I222" s="2"/>
      <c r="J222" s="3"/>
      <c r="K222" s="3"/>
      <c r="L222" s="3"/>
      <c r="M222" s="3"/>
      <c r="N222" s="60"/>
    </row>
    <row r="223" spans="1:14" s="61" customFormat="1" ht="19.5" thickBot="1" x14ac:dyDescent="0.35">
      <c r="A223" s="3"/>
      <c r="B223" s="2" t="s">
        <v>171</v>
      </c>
      <c r="C223" s="99"/>
      <c r="D223" s="214">
        <f>0.5*ikmax</f>
        <v>72.16878364870324</v>
      </c>
      <c r="E223" s="2" t="s">
        <v>165</v>
      </c>
      <c r="F223" s="2" t="s">
        <v>257</v>
      </c>
      <c r="H223" s="2"/>
      <c r="I223" s="2"/>
      <c r="J223" s="3"/>
      <c r="K223" s="3"/>
      <c r="L223" s="3"/>
      <c r="M223" s="3"/>
    </row>
    <row r="224" spans="1:14" s="61" customFormat="1" ht="18.75" x14ac:dyDescent="0.3">
      <c r="A224" s="125"/>
      <c r="B224" s="2"/>
      <c r="C224" s="99"/>
      <c r="D224" s="99"/>
      <c r="E224" s="2"/>
      <c r="F224" s="2"/>
      <c r="H224" s="2"/>
      <c r="I224" s="2"/>
      <c r="J224" s="3"/>
      <c r="K224" s="3"/>
      <c r="L224" s="3"/>
      <c r="M224" s="3"/>
      <c r="N224" s="60"/>
    </row>
    <row r="225" spans="1:14" s="61" customFormat="1" ht="18.75" x14ac:dyDescent="0.3">
      <c r="A225" s="125"/>
      <c r="B225" s="2" t="s">
        <v>258</v>
      </c>
      <c r="C225" s="99"/>
      <c r="D225" s="99"/>
      <c r="E225" s="2"/>
      <c r="F225" s="2"/>
      <c r="H225" s="2"/>
      <c r="I225" s="2"/>
      <c r="J225" s="3"/>
      <c r="K225" s="3"/>
      <c r="L225" s="3"/>
      <c r="M225" s="3"/>
      <c r="N225" s="60"/>
    </row>
    <row r="226" spans="1:14" s="61" customFormat="1" ht="19.5" thickBot="1" x14ac:dyDescent="0.35">
      <c r="A226" s="125"/>
      <c r="C226" s="99"/>
      <c r="D226" s="99"/>
      <c r="E226" s="2"/>
      <c r="F226" s="2"/>
      <c r="H226" s="2"/>
      <c r="I226" s="2"/>
      <c r="J226" s="3"/>
      <c r="K226" s="3"/>
      <c r="L226" s="3"/>
      <c r="M226" s="3"/>
      <c r="N226" s="60"/>
    </row>
    <row r="227" spans="1:14" s="61" customFormat="1" ht="18.75" x14ac:dyDescent="0.3">
      <c r="A227" s="125"/>
      <c r="B227" s="87" t="s">
        <v>180</v>
      </c>
      <c r="C227" s="207"/>
      <c r="D227" s="204">
        <f>Rünv+Rt+Rltwarm</f>
        <v>2.7783708426708866E-4</v>
      </c>
      <c r="E227" s="13" t="s">
        <v>10</v>
      </c>
      <c r="F227" s="72"/>
      <c r="G227" s="13" t="s">
        <v>37</v>
      </c>
      <c r="H227" s="13"/>
      <c r="I227" s="13"/>
      <c r="J227" s="13"/>
      <c r="K227" s="13"/>
      <c r="L227" s="13"/>
      <c r="M227" s="13"/>
      <c r="N227" s="60"/>
    </row>
    <row r="228" spans="1:14" s="61" customFormat="1" x14ac:dyDescent="0.25">
      <c r="A228" s="12"/>
      <c r="B228" s="87" t="s">
        <v>181</v>
      </c>
      <c r="C228" s="207"/>
      <c r="D228" s="139">
        <f>Xünv+Xt+Xlt</f>
        <v>1.5756924048195328E-3</v>
      </c>
      <c r="E228" s="13" t="s">
        <v>10</v>
      </c>
      <c r="F228" s="72"/>
      <c r="G228" s="13" t="s">
        <v>38</v>
      </c>
      <c r="H228" s="13"/>
      <c r="I228" s="13"/>
      <c r="J228" s="13"/>
      <c r="K228" s="13"/>
      <c r="L228" s="13"/>
      <c r="M228" s="13"/>
      <c r="N228" s="60"/>
    </row>
    <row r="229" spans="1:14" s="61" customFormat="1" x14ac:dyDescent="0.25">
      <c r="A229" s="12"/>
      <c r="B229" s="87" t="s">
        <v>61</v>
      </c>
      <c r="C229" s="207"/>
      <c r="D229" s="139">
        <f>360/(2*PI())*ATAN(_Xv70/_Rv70)</f>
        <v>80</v>
      </c>
      <c r="E229" s="13" t="s">
        <v>8</v>
      </c>
      <c r="F229" s="208" t="s">
        <v>266</v>
      </c>
      <c r="G229" s="13" t="s">
        <v>62</v>
      </c>
      <c r="H229" s="13"/>
      <c r="I229" s="13"/>
      <c r="J229" s="13"/>
      <c r="K229" s="13"/>
      <c r="L229" s="13"/>
      <c r="M229" s="13"/>
      <c r="N229" s="60"/>
    </row>
    <row r="230" spans="1:14" s="61" customFormat="1" ht="19.5" thickBot="1" x14ac:dyDescent="0.35">
      <c r="A230" s="12"/>
      <c r="B230" s="87" t="s">
        <v>182</v>
      </c>
      <c r="C230" s="99"/>
      <c r="D230" s="139">
        <f>SQRT(_Rv70^2+_Xv70^2)</f>
        <v>1.5999999999999999E-3</v>
      </c>
      <c r="E230" s="13" t="s">
        <v>10</v>
      </c>
      <c r="F230" s="2"/>
      <c r="H230" s="2"/>
      <c r="I230" s="2"/>
      <c r="J230" s="3"/>
      <c r="K230" s="3"/>
      <c r="L230" s="3"/>
      <c r="M230" s="3"/>
      <c r="N230" s="60"/>
    </row>
    <row r="231" spans="1:14" s="61" customFormat="1" ht="19.5" thickBot="1" x14ac:dyDescent="0.35">
      <c r="A231" s="59"/>
      <c r="B231" s="2" t="s">
        <v>255</v>
      </c>
      <c r="C231" s="99"/>
      <c r="D231" s="214">
        <f>Uv^2/_Zv70</f>
        <v>100.00000000000003</v>
      </c>
      <c r="E231" s="2" t="s">
        <v>5</v>
      </c>
      <c r="F231" s="2" t="s">
        <v>256</v>
      </c>
      <c r="H231" s="2"/>
      <c r="I231" s="2"/>
      <c r="J231" s="3"/>
      <c r="K231" s="3"/>
      <c r="L231" s="3"/>
      <c r="M231" s="3"/>
      <c r="N231" s="60"/>
    </row>
    <row r="232" spans="1:14" s="61" customFormat="1" ht="19.5" thickBot="1" x14ac:dyDescent="0.35">
      <c r="A232" s="209"/>
      <c r="B232" s="210"/>
      <c r="C232" s="203"/>
      <c r="D232" s="203"/>
      <c r="E232" s="210"/>
      <c r="F232" s="210"/>
      <c r="G232" s="143"/>
      <c r="H232" s="210"/>
      <c r="I232" s="210"/>
      <c r="J232" s="211"/>
      <c r="K232" s="211"/>
      <c r="L232" s="211"/>
      <c r="M232" s="211"/>
      <c r="N232" s="144"/>
    </row>
    <row r="233" spans="1:14" s="61" customFormat="1" ht="18.75" x14ac:dyDescent="0.3">
      <c r="A233" s="125"/>
      <c r="B233" s="2"/>
      <c r="C233" s="99"/>
      <c r="D233" s="99"/>
      <c r="E233" s="2"/>
      <c r="F233" s="2"/>
      <c r="H233" s="2"/>
      <c r="I233" s="2"/>
      <c r="J233" s="3"/>
      <c r="K233" s="3"/>
      <c r="L233" s="3"/>
      <c r="M233" s="3"/>
      <c r="N233" s="60"/>
    </row>
    <row r="234" spans="1:14" s="61" customFormat="1" ht="19.5" thickBot="1" x14ac:dyDescent="0.35">
      <c r="A234" s="125"/>
      <c r="B234" s="2" t="s">
        <v>259</v>
      </c>
      <c r="C234" s="99"/>
      <c r="D234" s="203"/>
      <c r="E234" s="2"/>
      <c r="F234" s="2"/>
      <c r="H234" s="2"/>
      <c r="I234" s="2"/>
      <c r="J234" s="3"/>
      <c r="K234" s="3"/>
      <c r="L234" s="3"/>
      <c r="M234" s="3"/>
      <c r="N234" s="60"/>
    </row>
    <row r="235" spans="1:14" s="61" customFormat="1" ht="18.75" x14ac:dyDescent="0.3">
      <c r="A235" s="125"/>
      <c r="B235" s="87" t="s">
        <v>247</v>
      </c>
      <c r="C235" s="99"/>
      <c r="D235" s="204">
        <f>(Rünv)+(Rt)+(2*Rlt)</f>
        <v>2.7783708426708866E-4</v>
      </c>
      <c r="E235" s="2"/>
      <c r="F235" s="2"/>
      <c r="H235" s="2"/>
      <c r="I235" s="2"/>
      <c r="J235" s="3"/>
      <c r="K235" s="3"/>
      <c r="L235" s="3"/>
      <c r="M235" s="3"/>
      <c r="N235" s="60"/>
    </row>
    <row r="236" spans="1:14" s="61" customFormat="1" ht="18.75" x14ac:dyDescent="0.3">
      <c r="A236" s="125"/>
      <c r="B236" s="87" t="s">
        <v>248</v>
      </c>
      <c r="C236" s="99"/>
      <c r="D236" s="139">
        <f>(Xünv)+(Xt)+(2*Xlt)</f>
        <v>1.5756924048195328E-3</v>
      </c>
      <c r="E236" s="2"/>
      <c r="F236" s="2"/>
      <c r="H236" s="2"/>
      <c r="I236" s="2"/>
      <c r="J236" s="3"/>
      <c r="K236" s="3"/>
      <c r="L236" s="3"/>
      <c r="M236" s="3"/>
      <c r="N236" s="60"/>
    </row>
    <row r="237" spans="1:14" s="61" customFormat="1" ht="18.75" x14ac:dyDescent="0.3">
      <c r="A237" s="125"/>
      <c r="B237" s="87" t="s">
        <v>249</v>
      </c>
      <c r="C237" s="99"/>
      <c r="D237" s="139">
        <f>Rsch*(1+40*0.004)</f>
        <v>3.2229101774982282E-4</v>
      </c>
      <c r="E237" s="2"/>
      <c r="F237" s="2"/>
      <c r="H237" s="2"/>
      <c r="I237" s="2"/>
      <c r="J237" s="3"/>
      <c r="K237" s="3"/>
      <c r="L237" s="3"/>
      <c r="M237" s="3"/>
      <c r="N237" s="60"/>
    </row>
    <row r="238" spans="1:14" s="61" customFormat="1" ht="18.75" x14ac:dyDescent="0.3">
      <c r="A238" s="125"/>
      <c r="B238" s="87" t="s">
        <v>250</v>
      </c>
      <c r="C238" s="99"/>
      <c r="D238" s="139">
        <f>SQRT(Rsch60^2+Xsch^2)</f>
        <v>1.6083152846156064E-3</v>
      </c>
      <c r="E238" s="2"/>
      <c r="F238" s="2"/>
      <c r="H238" s="2"/>
      <c r="I238" s="2"/>
      <c r="J238" s="3"/>
      <c r="K238" s="3"/>
      <c r="L238" s="3"/>
      <c r="M238" s="3"/>
      <c r="N238" s="60"/>
    </row>
    <row r="239" spans="1:14" s="61" customFormat="1" ht="19.5" thickBot="1" x14ac:dyDescent="0.35">
      <c r="A239" s="125"/>
      <c r="B239" s="2" t="s">
        <v>171</v>
      </c>
      <c r="C239" s="99"/>
      <c r="D239" s="141">
        <f>Uv/SQRT(3)/Zsch</f>
        <v>143.59131563625346</v>
      </c>
      <c r="E239" s="2" t="s">
        <v>165</v>
      </c>
      <c r="F239" s="2" t="s">
        <v>251</v>
      </c>
      <c r="H239" s="2"/>
      <c r="I239" s="2"/>
      <c r="J239" s="3"/>
      <c r="K239" s="3"/>
      <c r="L239" s="3"/>
      <c r="M239" s="3"/>
      <c r="N239" s="60"/>
    </row>
    <row r="240" spans="1:14" s="61" customFormat="1" ht="15.75" thickBot="1" x14ac:dyDescent="0.3">
      <c r="A240" s="142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  <c r="N240" s="144"/>
    </row>
  </sheetData>
  <mergeCells count="14">
    <mergeCell ref="E90:F90"/>
    <mergeCell ref="C90:D90"/>
    <mergeCell ref="D36:E36"/>
    <mergeCell ref="D6:M6"/>
    <mergeCell ref="D10:M10"/>
    <mergeCell ref="D16:M16"/>
    <mergeCell ref="D26:M26"/>
    <mergeCell ref="H7:M7"/>
    <mergeCell ref="D7:E7"/>
    <mergeCell ref="D35:M35"/>
    <mergeCell ref="D68:L68"/>
    <mergeCell ref="D69:L69"/>
    <mergeCell ref="D84:L84"/>
    <mergeCell ref="D83:L83"/>
  </mergeCells>
  <phoneticPr fontId="2" type="noConversion"/>
  <conditionalFormatting sqref="D61">
    <cfRule type="cellIs" dxfId="5" priority="67" stopIfTrue="1" operator="greaterThan">
      <formula>dmax</formula>
    </cfRule>
  </conditionalFormatting>
  <conditionalFormatting sqref="D62:D63">
    <cfRule type="cellIs" dxfId="4" priority="63" stopIfTrue="1" operator="greaterThan">
      <formula>#REF!</formula>
    </cfRule>
  </conditionalFormatting>
  <conditionalFormatting sqref="D64">
    <cfRule type="cellIs" dxfId="3" priority="2" stopIfTrue="1" operator="greaterThan">
      <formula>dmax</formula>
    </cfRule>
  </conditionalFormatting>
  <conditionalFormatting sqref="D76">
    <cfRule type="cellIs" dxfId="2" priority="9" stopIfTrue="1" operator="greaterThan">
      <formula>dmax_last</formula>
    </cfRule>
  </conditionalFormatting>
  <conditionalFormatting sqref="D77:D78">
    <cfRule type="cellIs" dxfId="1" priority="8" stopIfTrue="1" operator="greaterThan">
      <formula>#REF!</formula>
    </cfRule>
  </conditionalFormatting>
  <conditionalFormatting sqref="D79">
    <cfRule type="cellIs" dxfId="0" priority="1" stopIfTrue="1" operator="greaterThan">
      <formula>dmax_last</formula>
    </cfRule>
  </conditionalFormatting>
  <dataValidations count="3">
    <dataValidation type="list" allowBlank="1" showInputMessage="1" showErrorMessage="1" sqref="D36:E36" xr:uid="{00000000-0002-0000-0000-000000000000}">
      <formula1>"Direktanlauf,Y/D Anlauf,Softstarter,Frequenzumrichter,AFE Umrichter,PV-Anlage,kein"</formula1>
    </dataValidation>
    <dataValidation type="list" allowBlank="1" showInputMessage="1" showErrorMessage="1" sqref="D37" xr:uid="{00000000-0002-0000-0000-000001000000}">
      <formula1>"nein,ja"</formula1>
    </dataValidation>
    <dataValidation showDropDown="1" showInputMessage="1" showErrorMessage="1" sqref="E37" xr:uid="{00000000-0002-0000-0000-000002000000}"/>
  </dataValidations>
  <pageMargins left="0.70866141732283472" right="0.70866141732283472" top="0.59055118110236227" bottom="0.59055118110236227" header="0.31496062992125984" footer="0.31496062992125984"/>
  <pageSetup paperSize="9" scale="59" fitToHeight="0" orientation="portrait" r:id="rId1"/>
  <rowBreaks count="3" manualBreakCount="3">
    <brk id="54" max="16383" man="1"/>
    <brk id="111" max="16383" man="1"/>
    <brk id="159" max="13" man="1"/>
  </rowBreaks>
  <cellWatches>
    <cellWatch r="B31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5" x14ac:dyDescent="0.25"/>
  <sheetData/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5" x14ac:dyDescent="0.25"/>
  <sheetData/>
  <phoneticPr fontId="2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c0f72b-f232-48b9-95a3-4a2e7b625a8c">
      <Terms xmlns="http://schemas.microsoft.com/office/infopath/2007/PartnerControls"/>
    </lcf76f155ced4ddcb4097134ff3c332f>
    <TaxCatchAll xmlns="209aa187-8ca8-4435-8cc6-6614e4fee1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07EBF6ABC3D04FB2FAFBBE6C9F336C" ma:contentTypeVersion="15" ma:contentTypeDescription="Ein neues Dokument erstellen." ma:contentTypeScope="" ma:versionID="207dcd36c38d4a80f61876c1aa144e2f">
  <xsd:schema xmlns:xsd="http://www.w3.org/2001/XMLSchema" xmlns:xs="http://www.w3.org/2001/XMLSchema" xmlns:p="http://schemas.microsoft.com/office/2006/metadata/properties" xmlns:ns2="b6c0f72b-f232-48b9-95a3-4a2e7b625a8c" xmlns:ns3="209aa187-8ca8-4435-8cc6-6614e4fee1ce" targetNamespace="http://schemas.microsoft.com/office/2006/metadata/properties" ma:root="true" ma:fieldsID="201e9ed9d3304b8627526e32f9131bde" ns2:_="" ns3:_="">
    <xsd:import namespace="b6c0f72b-f232-48b9-95a3-4a2e7b625a8c"/>
    <xsd:import namespace="209aa187-8ca8-4435-8cc6-6614e4fee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0f72b-f232-48b9-95a3-4a2e7b625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37f3e1a-9eba-45b4-baed-e8e91b05e4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aa187-8ca8-4435-8cc6-6614e4fee1c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2f4126a-59ba-47bb-b9ef-e1be324190fc}" ma:internalName="TaxCatchAll" ma:showField="CatchAllData" ma:web="209aa187-8ca8-4435-8cc6-6614e4fee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88A8B-7B7B-4C82-B157-78F5261ED5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D19BDA-CEE5-4318-8AB1-FCB3B9F8E507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b6c0f72b-f232-48b9-95a3-4a2e7b625a8c"/>
    <ds:schemaRef ds:uri="http://purl.org/dc/terms/"/>
    <ds:schemaRef ds:uri="209aa187-8ca8-4435-8cc6-6614e4fee1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507875-3BBD-461E-A93C-9842D008E7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c0f72b-f232-48b9-95a3-4a2e7b625a8c"/>
    <ds:schemaRef ds:uri="209aa187-8ca8-4435-8cc6-6614e4fee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81</vt:i4>
      </vt:variant>
    </vt:vector>
  </HeadingPairs>
  <TitlesOfParts>
    <vt:vector size="84" baseType="lpstr">
      <vt:lpstr>Tabelle1</vt:lpstr>
      <vt:lpstr>Tabelle2</vt:lpstr>
      <vt:lpstr>Tabelle3</vt:lpstr>
      <vt:lpstr>_Rtt1</vt:lpstr>
      <vt:lpstr>_Rv160</vt:lpstr>
      <vt:lpstr>_Rv20</vt:lpstr>
      <vt:lpstr>_Rv70</vt:lpstr>
      <vt:lpstr>_Skv160</vt:lpstr>
      <vt:lpstr>_Xv160</vt:lpstr>
      <vt:lpstr>_Xv20</vt:lpstr>
      <vt:lpstr>_Xv70</vt:lpstr>
      <vt:lpstr>_Zv160</vt:lpstr>
      <vt:lpstr>_Zv20</vt:lpstr>
      <vt:lpstr>_Zv70</vt:lpstr>
      <vt:lpstr>Alpha</vt:lpstr>
      <vt:lpstr>AlphaCu</vt:lpstr>
      <vt:lpstr>cosphia</vt:lpstr>
      <vt:lpstr>cosphiah</vt:lpstr>
      <vt:lpstr>cosphin</vt:lpstr>
      <vt:lpstr>Delta_Sa</vt:lpstr>
      <vt:lpstr>dmax</vt:lpstr>
      <vt:lpstr>dmax_last</vt:lpstr>
      <vt:lpstr>Tabelle1!Druckbereich</vt:lpstr>
      <vt:lpstr>einphasig</vt:lpstr>
      <vt:lpstr>Ia</vt:lpstr>
      <vt:lpstr>IaIn</vt:lpstr>
      <vt:lpstr>IaIn_ag</vt:lpstr>
      <vt:lpstr>IHAK</vt:lpstr>
      <vt:lpstr>IKAB</vt:lpstr>
      <vt:lpstr>ikmax</vt:lpstr>
      <vt:lpstr>ikmin</vt:lpstr>
      <vt:lpstr>In</vt:lpstr>
      <vt:lpstr>ISA</vt:lpstr>
      <vt:lpstr>Länge</vt:lpstr>
      <vt:lpstr>nt</vt:lpstr>
      <vt:lpstr>PhiLast</vt:lpstr>
      <vt:lpstr>Phinetz</vt:lpstr>
      <vt:lpstr>Phinetz20</vt:lpstr>
      <vt:lpstr>Pn</vt:lpstr>
      <vt:lpstr>Pulse</vt:lpstr>
      <vt:lpstr>rih</vt:lpstr>
      <vt:lpstr>rimin</vt:lpstr>
      <vt:lpstr>Rl</vt:lpstr>
      <vt:lpstr>Rlbelag</vt:lpstr>
      <vt:lpstr>Rlt</vt:lpstr>
      <vt:lpstr>Rltwarm</vt:lpstr>
      <vt:lpstr>Rsch</vt:lpstr>
      <vt:lpstr>Rsch60</vt:lpstr>
      <vt:lpstr>Rt</vt:lpstr>
      <vt:lpstr>Rtt</vt:lpstr>
      <vt:lpstr>Rün</vt:lpstr>
      <vt:lpstr>Rünv</vt:lpstr>
      <vt:lpstr>Sa</vt:lpstr>
      <vt:lpstr>Sk3p160</vt:lpstr>
      <vt:lpstr>Skün</vt:lpstr>
      <vt:lpstr>Skv</vt:lpstr>
      <vt:lpstr>SkVSa</vt:lpstr>
      <vt:lpstr>Sn</vt:lpstr>
      <vt:lpstr>Sos</vt:lpstr>
      <vt:lpstr>Srt</vt:lpstr>
      <vt:lpstr>Starthilfe</vt:lpstr>
      <vt:lpstr>Ubem</vt:lpstr>
      <vt:lpstr>uk</vt:lpstr>
      <vt:lpstr>ur</vt:lpstr>
      <vt:lpstr>Urt</vt:lpstr>
      <vt:lpstr>üt1</vt:lpstr>
      <vt:lpstr>Uün</vt:lpstr>
      <vt:lpstr>Uv</vt:lpstr>
      <vt:lpstr>ux</vt:lpstr>
      <vt:lpstr>Winkelün</vt:lpstr>
      <vt:lpstr>Xl</vt:lpstr>
      <vt:lpstr>Xlbelag</vt:lpstr>
      <vt:lpstr>Xlt</vt:lpstr>
      <vt:lpstr>Xsch</vt:lpstr>
      <vt:lpstr>Xt</vt:lpstr>
      <vt:lpstr>Xtt</vt:lpstr>
      <vt:lpstr>Xtt1</vt:lpstr>
      <vt:lpstr>Xün</vt:lpstr>
      <vt:lpstr>Xünv</vt:lpstr>
      <vt:lpstr>Zlt</vt:lpstr>
      <vt:lpstr>Zlt160</vt:lpstr>
      <vt:lpstr>Zsch</vt:lpstr>
      <vt:lpstr>Zt</vt:lpstr>
      <vt:lpstr>Zün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Pargätzi Jürg</dc:creator>
  <cp:lastModifiedBy>Jürg Pargätzi</cp:lastModifiedBy>
  <cp:lastPrinted>2014-06-18T10:47:23Z</cp:lastPrinted>
  <dcterms:created xsi:type="dcterms:W3CDTF">2008-11-26T12:49:16Z</dcterms:created>
  <dcterms:modified xsi:type="dcterms:W3CDTF">2025-11-18T06:57:44Z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0x010100C007EBF6ABC3D04FB2FAFBBE6C9F336C</vt:lpwstr>
  </property>
  <property fmtid="{D5CDD505-2E9C-101B-9397-08002B2CF9AE}" pid="3" name="MediaServiceImageTags">
    <vt:lpwstr/>
  </property>
</Properties>
</file>